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6\ตารางวิกฤติทางการเงิน 2566\"/>
    </mc:Choice>
  </mc:AlternateContent>
  <xr:revisionPtr revIDLastSave="0" documentId="13_ncr:1_{9696251A-44FB-452A-8249-EF5276CDAFF9}" xr6:coauthVersionLast="47" xr6:coauthVersionMax="47" xr10:uidLastSave="{00000000-0000-0000-0000-000000000000}"/>
  <bookViews>
    <workbookView xWindow="12690" yWindow="390" windowWidth="16455" windowHeight="15300" tabRatio="849" activeTab="11" xr2:uid="{00000000-000D-0000-FFFF-FFFF00000000}"/>
  </bookViews>
  <sheets>
    <sheet name="ต.ค.65" sheetId="20" r:id="rId1"/>
    <sheet name="พ.ย.65" sheetId="22" r:id="rId2"/>
    <sheet name="ธ.ค.65" sheetId="23" r:id="rId3"/>
    <sheet name="ม.ค.66" sheetId="24" r:id="rId4"/>
    <sheet name="ก.พ.66" sheetId="25" r:id="rId5"/>
    <sheet name="มี.ค.66" sheetId="26" r:id="rId6"/>
    <sheet name="เม.ย.66" sheetId="27" r:id="rId7"/>
    <sheet name="พ.ค.66" sheetId="28" r:id="rId8"/>
    <sheet name="มิ.ย.66" sheetId="29" r:id="rId9"/>
    <sheet name="ก.ค.66" sheetId="30" r:id="rId10"/>
    <sheet name="ส.ค.66" sheetId="31" r:id="rId11"/>
    <sheet name="ก.ย.66 " sheetId="32" r:id="rId12"/>
    <sheet name="Sheet2" sheetId="35" r:id="rId13"/>
    <sheet name="Sheet1" sheetId="37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31" l="1"/>
  <c r="N11" i="31"/>
  <c r="K11" i="31"/>
  <c r="I21" i="28" l="1"/>
  <c r="L21" i="28"/>
  <c r="P21" i="28"/>
  <c r="Q21" i="28"/>
  <c r="H21" i="28"/>
  <c r="H21" i="26"/>
  <c r="Q21" i="23"/>
  <c r="I21" i="23"/>
  <c r="J21" i="23"/>
  <c r="K21" i="23"/>
  <c r="L21" i="23"/>
  <c r="M21" i="23"/>
  <c r="N21" i="23"/>
  <c r="O21" i="23"/>
  <c r="P21" i="23"/>
  <c r="H21" i="23"/>
  <c r="M19" i="28"/>
  <c r="Q21" i="27"/>
  <c r="H21" i="27"/>
  <c r="Q21" i="26"/>
  <c r="P21" i="26"/>
  <c r="I21" i="26"/>
  <c r="G5" i="24"/>
  <c r="J5" i="24"/>
  <c r="N5" i="24" s="1"/>
  <c r="K5" i="24"/>
  <c r="L5" i="24"/>
  <c r="M5" i="24"/>
  <c r="O5" i="24"/>
  <c r="G6" i="24"/>
  <c r="J6" i="24"/>
  <c r="K6" i="24"/>
  <c r="L6" i="24"/>
  <c r="M6" i="24"/>
  <c r="O6" i="24"/>
  <c r="G7" i="24"/>
  <c r="J7" i="24"/>
  <c r="K7" i="24"/>
  <c r="L7" i="24"/>
  <c r="M7" i="24"/>
  <c r="N7" i="24"/>
  <c r="O7" i="24"/>
  <c r="N7" i="20"/>
  <c r="G5" i="20"/>
  <c r="N5" i="20" s="1"/>
  <c r="J5" i="20"/>
  <c r="K5" i="20"/>
  <c r="L5" i="20"/>
  <c r="M5" i="20"/>
  <c r="G6" i="20"/>
  <c r="J6" i="20"/>
  <c r="K6" i="20"/>
  <c r="L6" i="20"/>
  <c r="M6" i="20"/>
  <c r="G7" i="20"/>
  <c r="J7" i="20"/>
  <c r="K7" i="20"/>
  <c r="L7" i="20" s="1"/>
  <c r="M7" i="20"/>
  <c r="N6" i="24" l="1"/>
  <c r="N6" i="20"/>
  <c r="G5" i="32"/>
  <c r="J5" i="32"/>
  <c r="K5" i="32"/>
  <c r="L5" i="32"/>
  <c r="M5" i="32"/>
  <c r="G6" i="32"/>
  <c r="J6" i="32"/>
  <c r="K6" i="32"/>
  <c r="L6" i="32" s="1"/>
  <c r="M6" i="32"/>
  <c r="G7" i="32"/>
  <c r="J7" i="32"/>
  <c r="K7" i="32"/>
  <c r="L7" i="32"/>
  <c r="M7" i="32"/>
  <c r="N5" i="32" l="1"/>
  <c r="N6" i="32"/>
  <c r="N7" i="32"/>
  <c r="K6" i="22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K8" i="32"/>
  <c r="L8" i="32" s="1"/>
  <c r="K9" i="32"/>
  <c r="L9" i="32" s="1"/>
  <c r="K10" i="32"/>
  <c r="L10" i="32" s="1"/>
  <c r="K11" i="32"/>
  <c r="L11" i="32" s="1"/>
  <c r="K12" i="32"/>
  <c r="L12" i="32" s="1"/>
  <c r="K13" i="32"/>
  <c r="K14" i="32"/>
  <c r="L14" i="32" s="1"/>
  <c r="K15" i="32"/>
  <c r="L15" i="32" s="1"/>
  <c r="K16" i="32"/>
  <c r="L16" i="32" s="1"/>
  <c r="K17" i="32"/>
  <c r="L17" i="32" s="1"/>
  <c r="K18" i="32"/>
  <c r="L18" i="32" s="1"/>
  <c r="K19" i="32"/>
  <c r="L19" i="32" s="1"/>
  <c r="K20" i="32"/>
  <c r="L20" i="32" s="1"/>
  <c r="M21" i="32"/>
  <c r="J20" i="32"/>
  <c r="G20" i="32"/>
  <c r="J19" i="32"/>
  <c r="G19" i="32"/>
  <c r="J18" i="32"/>
  <c r="G18" i="32"/>
  <c r="J17" i="32"/>
  <c r="G17" i="32"/>
  <c r="J16" i="32"/>
  <c r="G16" i="32"/>
  <c r="J15" i="32"/>
  <c r="G15" i="32"/>
  <c r="J14" i="32"/>
  <c r="G14" i="32"/>
  <c r="L13" i="32"/>
  <c r="J13" i="32"/>
  <c r="G13" i="32"/>
  <c r="J12" i="32"/>
  <c r="G12" i="32"/>
  <c r="J11" i="32"/>
  <c r="G11" i="32"/>
  <c r="J10" i="32"/>
  <c r="G10" i="32"/>
  <c r="J9" i="32"/>
  <c r="G9" i="32"/>
  <c r="J8" i="32"/>
  <c r="G8" i="32"/>
  <c r="M20" i="31"/>
  <c r="M19" i="31"/>
  <c r="M18" i="31"/>
  <c r="M17" i="31"/>
  <c r="M16" i="31"/>
  <c r="M15" i="31"/>
  <c r="M14" i="31"/>
  <c r="M13" i="31"/>
  <c r="M12" i="31"/>
  <c r="M10" i="31"/>
  <c r="M9" i="31"/>
  <c r="M8" i="31"/>
  <c r="M7" i="31"/>
  <c r="M6" i="31"/>
  <c r="M5" i="31"/>
  <c r="K20" i="31"/>
  <c r="L20" i="31" s="1"/>
  <c r="K19" i="31"/>
  <c r="L19" i="31" s="1"/>
  <c r="K18" i="31"/>
  <c r="L18" i="31" s="1"/>
  <c r="K17" i="31"/>
  <c r="L17" i="31" s="1"/>
  <c r="K16" i="31"/>
  <c r="L16" i="31" s="1"/>
  <c r="K15" i="31"/>
  <c r="L15" i="31" s="1"/>
  <c r="K14" i="31"/>
  <c r="L14" i="31" s="1"/>
  <c r="K13" i="31"/>
  <c r="K12" i="31"/>
  <c r="L12" i="31" s="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J18" i="31"/>
  <c r="G18" i="31"/>
  <c r="J17" i="31"/>
  <c r="G17" i="31"/>
  <c r="J16" i="31"/>
  <c r="G16" i="31"/>
  <c r="J15" i="31"/>
  <c r="G15" i="31"/>
  <c r="J14" i="31"/>
  <c r="G14" i="31"/>
  <c r="L13" i="31"/>
  <c r="J13" i="31"/>
  <c r="G13" i="31"/>
  <c r="J12" i="31"/>
  <c r="G12" i="31"/>
  <c r="L11" i="31"/>
  <c r="J11" i="31"/>
  <c r="G11" i="31"/>
  <c r="J10" i="31"/>
  <c r="G10" i="31"/>
  <c r="J9" i="31"/>
  <c r="G9" i="31"/>
  <c r="J8" i="31"/>
  <c r="G8" i="31"/>
  <c r="J7" i="31"/>
  <c r="G7" i="31"/>
  <c r="J6" i="31"/>
  <c r="G6" i="31"/>
  <c r="J5" i="31"/>
  <c r="G5" i="31"/>
  <c r="N16" i="32" l="1"/>
  <c r="N12" i="32"/>
  <c r="N16" i="31"/>
  <c r="O16" i="32" s="1"/>
  <c r="N20" i="32"/>
  <c r="N18" i="32"/>
  <c r="N17" i="32"/>
  <c r="N15" i="32"/>
  <c r="N14" i="32"/>
  <c r="N13" i="32"/>
  <c r="N11" i="32"/>
  <c r="N10" i="32"/>
  <c r="N9" i="32"/>
  <c r="N8" i="32"/>
  <c r="N20" i="31"/>
  <c r="O20" i="32" s="1"/>
  <c r="N19" i="31"/>
  <c r="O19" i="32" s="1"/>
  <c r="N18" i="31"/>
  <c r="O18" i="32" s="1"/>
  <c r="N17" i="31"/>
  <c r="O17" i="32" s="1"/>
  <c r="N15" i="31"/>
  <c r="O15" i="32" s="1"/>
  <c r="N14" i="31"/>
  <c r="O14" i="32" s="1"/>
  <c r="N13" i="31"/>
  <c r="O13" i="32" s="1"/>
  <c r="N12" i="31"/>
  <c r="O12" i="32" s="1"/>
  <c r="O11" i="32"/>
  <c r="N10" i="31"/>
  <c r="O10" i="32" s="1"/>
  <c r="N9" i="31"/>
  <c r="O9" i="32" s="1"/>
  <c r="N8" i="31"/>
  <c r="O8" i="32" s="1"/>
  <c r="N7" i="31"/>
  <c r="O7" i="32" s="1"/>
  <c r="N6" i="31"/>
  <c r="O6" i="32" s="1"/>
  <c r="N5" i="31"/>
  <c r="O5" i="32" s="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20" i="28"/>
  <c r="M5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8" i="24" l="1"/>
  <c r="O8" i="25" s="1"/>
  <c r="N17" i="27"/>
  <c r="O17" i="28" s="1"/>
  <c r="N15" i="26"/>
  <c r="O15" i="27" s="1"/>
  <c r="N9" i="30"/>
  <c r="O9" i="31" s="1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O7" i="25"/>
  <c r="O6" i="25"/>
  <c r="O5" i="25"/>
  <c r="N9" i="23"/>
  <c r="O9" i="24" s="1"/>
  <c r="N7" i="23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20" i="31" l="1"/>
  <c r="O19" i="31"/>
  <c r="O18" i="31"/>
  <c r="O17" i="31"/>
  <c r="O16" i="31"/>
  <c r="O15" i="31"/>
  <c r="O14" i="31"/>
  <c r="O13" i="31"/>
  <c r="O12" i="31"/>
  <c r="O11" i="31"/>
  <c r="O10" i="31"/>
  <c r="O8" i="31"/>
  <c r="O7" i="31"/>
  <c r="O6" i="31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L6" i="22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5" i="22" l="1"/>
  <c r="O5" i="23" s="1"/>
  <c r="N18" i="22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O6" i="22"/>
  <c r="N14" i="20" l="1"/>
  <c r="O14" i="22" s="1"/>
  <c r="N11" i="20"/>
  <c r="O11" i="22" s="1"/>
  <c r="O7" i="22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O5" i="22"/>
</calcChain>
</file>

<file path=xl/sharedStrings.xml><?xml version="1.0" encoding="utf-8"?>
<sst xmlns="http://schemas.openxmlformats.org/spreadsheetml/2006/main" count="942" uniqueCount="158">
  <si>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</si>
  <si>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</si>
  <si>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</si>
  <si>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</si>
  <si>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</si>
  <si>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</si>
  <si>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</si>
  <si>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</si>
  <si>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</si>
  <si>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</si>
  <si>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</si>
  <si>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</si>
  <si>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</si>
  <si>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</si>
  <si>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</si>
  <si>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</si>
  <si>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</si>
  <si>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</si>
  <si>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</si>
  <si>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</si>
  <si>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</si>
  <si>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</si>
  <si>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</si>
  <si>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</si>
  <si>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</si>
  <si>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</si>
  <si>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</si>
  <si>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</si>
  <si>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</si>
  <si>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</si>
  <si>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</si>
  <si>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</si>
  <si>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</si>
  <si>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</si>
  <si>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</si>
  <si>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</si>
  <si>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</si>
  <si>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</si>
  <si>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</si>
  <si>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</si>
  <si>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</si>
  <si>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</si>
  <si>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</si>
  <si>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</si>
  <si>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</si>
  <si>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</si>
  <si>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</si>
  <si>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</si>
  <si>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</si>
  <si>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</si>
  <si>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</si>
  <si>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</si>
  <si>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</si>
  <si>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</si>
  <si>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</si>
  <si>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</si>
  <si>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</si>
  <si>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Risk Scoring ธ.ค.64</t>
  </si>
  <si>
    <t>Risk Scoring เดือน พ.ย.64</t>
  </si>
  <si>
    <t>Risk Scoring ก.ย.65</t>
  </si>
  <si>
    <t>Risk Scoring เดือน ส.ค.65</t>
  </si>
  <si>
    <t>เงินบำรุงคงเหลือหักหนี้แล้ว</t>
  </si>
  <si>
    <t>ผลการประเมินภาวะวิกฤติ เดือน ตุลาคม 2565</t>
  </si>
  <si>
    <t>Risk Scoring ต.ค.65</t>
  </si>
  <si>
    <t>Risk Scoring เดือน ก.ย.65</t>
  </si>
  <si>
    <t>ผลการประเมินภาวะวิกฤติ เดือน พฤศจิกายน 2565</t>
  </si>
  <si>
    <t>Risk Scoring พ.ย.65</t>
  </si>
  <si>
    <t>Risk Scoring เดือน ต.ค.65</t>
  </si>
  <si>
    <t>ผลการประเมินภาวะวิกฤติ เดือน ธันวาคม  2565</t>
  </si>
  <si>
    <t>ผลการประเมินภาวะวิกฤติ เดือน มกราคม ปีงบประมาณ 2566</t>
  </si>
  <si>
    <t>Risk Scoring ม.ค.66</t>
  </si>
  <si>
    <t>Risk Scoring เดือน ธ.ค.65</t>
  </si>
  <si>
    <t>ผลการประเมินภาวะวิกฤติ เดือน กุมภาพันธ์ ปีงบประมาณ 2566</t>
  </si>
  <si>
    <t>Risk Scoring ก.พ.66</t>
  </si>
  <si>
    <t>Risk Scoring เดือน ม.ค.66</t>
  </si>
  <si>
    <t>ผลการประเมินภาวะวิกฤติ เดือน มีนาคม ปีงบประมาณ 2566</t>
  </si>
  <si>
    <t>ผลการประเมินภาวะวิกฤติ เดือน พฤษภาคม ปีงบประมาณ 2566</t>
  </si>
  <si>
    <t>Risk Scoring มี.ค.66</t>
  </si>
  <si>
    <t>Risk Scoring เดือน ก.พ.66</t>
  </si>
  <si>
    <t>Risk Scoring เม.ย.66</t>
  </si>
  <si>
    <t>Risk Scoring เดือน มี.ค.66</t>
  </si>
  <si>
    <t>Risk Scoring พ.ค.66</t>
  </si>
  <si>
    <t>Risk Scoring เดือน เม.ย.66</t>
  </si>
  <si>
    <t>ผลการประเมินภาวะวิกฤติ เดือน มิถุนายน ปีงบประมาณ 2566</t>
  </si>
  <si>
    <t>Risk Scoring มิ.ย.66</t>
  </si>
  <si>
    <t>Risk Scoring เดือน พ.ค.66</t>
  </si>
  <si>
    <t>ผลการประเมินภาวะวิกฤติ เดือน กรกฏาคม ปีงบประมาณ 2566</t>
  </si>
  <si>
    <t>Risk Scoring ก.ค.66</t>
  </si>
  <si>
    <t>Risk Scoring เดือน มิ.ย.66</t>
  </si>
  <si>
    <t>ผลการประเมินภาวะวิกฤติ เดือน สิงหาคม ปีงบประมาณ 2566</t>
  </si>
  <si>
    <t>Risk Scoring ส.ค.66</t>
  </si>
  <si>
    <t>Risk Scoring เดือน ก.ค.66</t>
  </si>
  <si>
    <t xml:space="preserve">เงินบำรุงคงเหลือหักหนี้แล้ว </t>
  </si>
  <si>
    <t>ผลการประเมินภาวะวิกฤติ เดือน กันยายน ปีงบประมาณ 2566</t>
  </si>
  <si>
    <t xml:space="preserve">CR
</t>
  </si>
  <si>
    <t xml:space="preserve">QR
</t>
  </si>
  <si>
    <t xml:space="preserve">Cash
</t>
  </si>
  <si>
    <r>
      <t xml:space="preserve">CR
</t>
    </r>
    <r>
      <rPr>
        <sz val="18"/>
        <color rgb="FF000000"/>
        <rFont val="Juice ITC"/>
        <family val="5"/>
      </rPr>
      <t xml:space="preserve">≥ </t>
    </r>
    <r>
      <rPr>
        <sz val="18"/>
        <color rgb="FF000000"/>
        <rFont val="TH SarabunPSK"/>
        <family val="2"/>
      </rPr>
      <t>1.50</t>
    </r>
  </si>
  <si>
    <r>
      <t xml:space="preserve">QR
</t>
    </r>
    <r>
      <rPr>
        <sz val="18"/>
        <color rgb="FF000000"/>
        <rFont val="Juice ITC"/>
        <family val="5"/>
      </rPr>
      <t>≥</t>
    </r>
    <r>
      <rPr>
        <sz val="18"/>
        <color rgb="FF000000"/>
        <rFont val="TH SarabunPSK"/>
        <family val="2"/>
      </rPr>
      <t xml:space="preserve"> 1.00</t>
    </r>
  </si>
  <si>
    <r>
      <t xml:space="preserve">Cash
</t>
    </r>
    <r>
      <rPr>
        <sz val="18"/>
        <color rgb="FF000000"/>
        <rFont val="Juice ITC"/>
        <family val="5"/>
      </rPr>
      <t>≥</t>
    </r>
    <r>
      <rPr>
        <sz val="12.6"/>
        <color rgb="FF000000"/>
        <rFont val="TH SarabunPSK"/>
        <family val="2"/>
      </rPr>
      <t xml:space="preserve"> </t>
    </r>
    <r>
      <rPr>
        <sz val="18"/>
        <color rgb="FF000000"/>
        <rFont val="TH SarabunPSK"/>
        <family val="2"/>
      </rPr>
      <t>0.80</t>
    </r>
  </si>
  <si>
    <t xml:space="preserve">NI </t>
  </si>
  <si>
    <t>อยุธยา</t>
  </si>
  <si>
    <t>เสนา</t>
  </si>
  <si>
    <t>ท่าเรือ</t>
  </si>
  <si>
    <t>สมเด็จฯ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</si>
  <si>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</si>
  <si>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</si>
  <si>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</si>
  <si>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</si>
  <si>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</si>
  <si>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</si>
  <si>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วังน้อย</t>
  </si>
  <si>
    <t>บางซ้าย</t>
  </si>
  <si>
    <t>อุทัย</t>
  </si>
  <si>
    <t>มหาราช</t>
  </si>
  <si>
    <t>บ้านแพรก</t>
  </si>
  <si>
    <t>รวม</t>
  </si>
  <si>
    <t>ผลการประเมินภาวะวิกฤติ เดือน เมษายน ปีงบประมาณ 2566</t>
  </si>
  <si>
    <t>เขต</t>
  </si>
  <si>
    <t>จังหวัด</t>
  </si>
  <si>
    <t>รหัส</t>
  </si>
  <si>
    <t>หน่วยงาน</t>
  </si>
  <si>
    <t>ประเภท</t>
  </si>
  <si>
    <t>งวดเดือน</t>
  </si>
  <si>
    <t>CR</t>
  </si>
  <si>
    <t>QR</t>
  </si>
  <si>
    <t>Cash</t>
  </si>
  <si>
    <t>NWC</t>
  </si>
  <si>
    <t>NI</t>
  </si>
  <si>
    <t>LiI</t>
  </si>
  <si>
    <t>StI</t>
  </si>
  <si>
    <t>SuI</t>
  </si>
  <si>
    <t>RiskScroing</t>
  </si>
  <si>
    <t>เงินบำรุงคงเหลือสุทธิ</t>
  </si>
  <si>
    <t>พระนครศรีอยุธยา</t>
  </si>
  <si>
    <t>10660</t>
  </si>
  <si>
    <t>พระนครศรีอยุธยา,รพศ.</t>
  </si>
  <si>
    <t>ก.ย. 2566</t>
  </si>
  <si>
    <t>10688</t>
  </si>
  <si>
    <t>เสนา,รพท.</t>
  </si>
  <si>
    <t>10768</t>
  </si>
  <si>
    <t>รพช.</t>
  </si>
  <si>
    <t>10769</t>
  </si>
  <si>
    <t>สมเด็จพระสังฆราช(นครหลวง),รพช.</t>
  </si>
  <si>
    <t>10770</t>
  </si>
  <si>
    <t>10771</t>
  </si>
  <si>
    <t>10772</t>
  </si>
  <si>
    <t>10773</t>
  </si>
  <si>
    <t>10774</t>
  </si>
  <si>
    <t>10775</t>
  </si>
  <si>
    <t>ภาชี,รพช.</t>
  </si>
  <si>
    <t>10776</t>
  </si>
  <si>
    <t>ลาดบัวหลวง,รพช.</t>
  </si>
  <si>
    <t>10777</t>
  </si>
  <si>
    <t>10778</t>
  </si>
  <si>
    <t>10779</t>
  </si>
  <si>
    <t>10780</t>
  </si>
  <si>
    <t>10781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</si>
</sst>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  <numFmt numFmtId="192" formatCode="#.00,,"/>
  </numFmts>
  <fonts count="3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F5273B"/>
      <name val="TH SarabunPSK"/>
      <family val="2"/>
    </font>
    <font>
      <sz val="18"/>
      <color rgb="FF000000"/>
      <name val="Juice ITC"/>
      <family val="5"/>
    </font>
    <font>
      <sz val="12.6"/>
      <color rgb="FF000000"/>
      <name val="TH SarabunPSK"/>
      <family val="2"/>
    </font>
    <font>
      <b/>
      <u/>
      <sz val="20"/>
      <color theme="1"/>
      <name val="TH SarabunPSK"/>
      <family val="2"/>
    </font>
    <font>
      <b/>
      <sz val="20"/>
      <color rgb="FF0070C0"/>
      <name val="TH SarabunPSK"/>
      <family val="2"/>
    </font>
    <font>
      <sz val="14"/>
      <color indexed="8"/>
      <name val="TH SarabunPSK"/>
      <family val="2"/>
    </font>
    <font>
      <sz val="10"/>
      <color indexed="8"/>
      <name val="Tahoma"/>
      <family val="2"/>
    </font>
    <font>
      <b/>
      <sz val="20"/>
      <color rgb="FF0000FF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ACB1"/>
        <bgColor indexed="64"/>
      </patternFill>
    </fill>
    <fill>
      <patternFill patternType="solid">
        <fgColor rgb="FFF2828A"/>
        <bgColor indexed="64"/>
      </patternFill>
    </fill>
    <fill>
      <patternFill patternType="solid">
        <fgColor rgb="FFF75363"/>
        <bgColor indexed="64"/>
      </patternFill>
    </fill>
    <fill>
      <patternFill patternType="solid">
        <fgColor indexed="22"/>
        <bgColor indexed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35" fillId="0" borderId="0"/>
  </cellStyleXfs>
  <cellXfs count="1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/>
    <xf numFmtId="190" fontId="2" fillId="0" borderId="1" xfId="0" applyNumberFormat="1" applyFont="1" applyBorder="1"/>
    <xf numFmtId="0" fontId="11" fillId="0" borderId="0" xfId="0" applyFont="1"/>
    <xf numFmtId="2" fontId="11" fillId="0" borderId="0" xfId="0" applyNumberFormat="1" applyFont="1"/>
    <xf numFmtId="17" fontId="11" fillId="0" borderId="0" xfId="0" applyNumberFormat="1" applyFont="1" applyAlignment="1">
      <alignment horizontal="center"/>
    </xf>
    <xf numFmtId="43" fontId="11" fillId="0" borderId="0" xfId="1" applyFont="1" applyFill="1" applyBorder="1"/>
    <xf numFmtId="43" fontId="11" fillId="0" borderId="0" xfId="1" applyFont="1"/>
    <xf numFmtId="43" fontId="15" fillId="0" borderId="0" xfId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43" fontId="16" fillId="0" borderId="1" xfId="1" applyFont="1" applyFill="1" applyBorder="1" applyAlignment="1"/>
    <xf numFmtId="43" fontId="16" fillId="0" borderId="1" xfId="1" applyFont="1" applyBorder="1" applyAlignment="1"/>
    <xf numFmtId="0" fontId="11" fillId="0" borderId="0" xfId="0" applyFont="1" applyAlignment="1">
      <alignment horizontal="left" vertical="center"/>
    </xf>
    <xf numFmtId="43" fontId="16" fillId="0" borderId="1" xfId="1" applyFont="1" applyFill="1" applyBorder="1" applyAlignment="1">
      <alignment vertical="center"/>
    </xf>
    <xf numFmtId="43" fontId="16" fillId="0" borderId="4" xfId="1" applyFont="1" applyBorder="1" applyAlignment="1"/>
    <xf numFmtId="0" fontId="8" fillId="0" borderId="0" xfId="0" applyFont="1" applyAlignment="1">
      <alignment vertical="top"/>
    </xf>
    <xf numFmtId="43" fontId="16" fillId="0" borderId="2" xfId="1" applyFont="1" applyBorder="1" applyAlignment="1">
      <alignment horizontal="left" vertical="center"/>
    </xf>
    <xf numFmtId="43" fontId="16" fillId="0" borderId="2" xfId="1" applyFont="1" applyBorder="1" applyAlignment="1">
      <alignment vertical="center"/>
    </xf>
    <xf numFmtId="187" fontId="15" fillId="0" borderId="2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87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3" fontId="16" fillId="0" borderId="0" xfId="1" applyFont="1"/>
    <xf numFmtId="43" fontId="22" fillId="0" borderId="0" xfId="1" applyFont="1" applyFill="1"/>
    <xf numFmtId="0" fontId="22" fillId="0" borderId="0" xfId="0" applyFont="1" applyAlignment="1">
      <alignment horizontal="center"/>
    </xf>
    <xf numFmtId="43" fontId="16" fillId="0" borderId="3" xfId="1" applyFont="1" applyBorder="1" applyAlignment="1">
      <alignment horizontal="left" vertical="center"/>
    </xf>
    <xf numFmtId="43" fontId="15" fillId="0" borderId="4" xfId="1" applyFont="1" applyBorder="1" applyAlignment="1">
      <alignment horizontal="center" vertical="center"/>
    </xf>
    <xf numFmtId="0" fontId="8" fillId="0" borderId="0" xfId="0" applyFont="1"/>
    <xf numFmtId="0" fontId="11" fillId="0" borderId="7" xfId="0" applyFont="1" applyBorder="1" applyAlignment="1">
      <alignment horizontal="center"/>
    </xf>
    <xf numFmtId="191" fontId="8" fillId="0" borderId="0" xfId="0" applyNumberFormat="1" applyFont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88" fontId="9" fillId="2" borderId="8" xfId="0" applyNumberFormat="1" applyFont="1" applyFill="1" applyBorder="1" applyAlignment="1">
      <alignment horizontal="center" vertical="center" wrapText="1" readingOrder="1"/>
    </xf>
    <xf numFmtId="3" fontId="8" fillId="0" borderId="8" xfId="0" applyNumberFormat="1" applyFont="1" applyBorder="1" applyAlignment="1">
      <alignment horizontal="center" vertical="center" wrapText="1" readingOrder="1"/>
    </xf>
    <xf numFmtId="0" fontId="1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4" fontId="10" fillId="0" borderId="8" xfId="0" applyNumberFormat="1" applyFont="1" applyBorder="1" applyAlignment="1">
      <alignment horizontal="center" vertical="center" wrapText="1" readingOrder="1"/>
    </xf>
    <xf numFmtId="4" fontId="10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left" vertical="center" wrapText="1" readingOrder="1"/>
    </xf>
    <xf numFmtId="4" fontId="9" fillId="0" borderId="8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4" fontId="25" fillId="0" borderId="8" xfId="0" applyNumberFormat="1" applyFont="1" applyBorder="1" applyAlignment="1">
      <alignment horizontal="center" vertical="center"/>
    </xf>
    <xf numFmtId="187" fontId="15" fillId="0" borderId="13" xfId="1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 readingOrder="1"/>
    </xf>
    <xf numFmtId="0" fontId="26" fillId="0" borderId="8" xfId="0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 wrapText="1" readingOrder="1"/>
    </xf>
    <xf numFmtId="188" fontId="27" fillId="2" borderId="8" xfId="0" applyNumberFormat="1" applyFont="1" applyFill="1" applyBorder="1" applyAlignment="1">
      <alignment horizontal="center" vertical="center" wrapText="1" readingOrder="1"/>
    </xf>
    <xf numFmtId="3" fontId="28" fillId="0" borderId="8" xfId="0" applyNumberFormat="1" applyFont="1" applyBorder="1" applyAlignment="1">
      <alignment horizontal="center" vertical="center" wrapText="1" readingOrder="1"/>
    </xf>
    <xf numFmtId="4" fontId="27" fillId="0" borderId="8" xfId="0" applyNumberFormat="1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 wrapText="1" readingOrder="1"/>
    </xf>
    <xf numFmtId="4" fontId="10" fillId="0" borderId="0" xfId="0" applyNumberFormat="1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3" fontId="28" fillId="12" borderId="8" xfId="0" applyNumberFormat="1" applyFont="1" applyFill="1" applyBorder="1" applyAlignment="1">
      <alignment horizontal="center" vertical="center" wrapText="1" readingOrder="1"/>
    </xf>
    <xf numFmtId="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88" fontId="26" fillId="2" borderId="8" xfId="0" applyNumberFormat="1" applyFont="1" applyFill="1" applyBorder="1" applyAlignment="1">
      <alignment horizontal="center" vertical="center" wrapText="1" readingOrder="1"/>
    </xf>
    <xf numFmtId="3" fontId="26" fillId="0" borderId="8" xfId="0" applyNumberFormat="1" applyFont="1" applyBorder="1" applyAlignment="1">
      <alignment horizontal="center" vertical="center" wrapText="1" readingOrder="1"/>
    </xf>
    <xf numFmtId="0" fontId="13" fillId="7" borderId="10" xfId="0" applyFont="1" applyFill="1" applyBorder="1" applyAlignment="1">
      <alignment horizontal="center" vertical="center" wrapText="1" readingOrder="1"/>
    </xf>
    <xf numFmtId="4" fontId="9" fillId="0" borderId="0" xfId="0" applyNumberFormat="1" applyFont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 readingOrder="1"/>
    </xf>
    <xf numFmtId="192" fontId="25" fillId="0" borderId="8" xfId="0" applyNumberFormat="1" applyFont="1" applyBorder="1" applyAlignment="1">
      <alignment horizontal="center" vertical="center"/>
    </xf>
    <xf numFmtId="192" fontId="9" fillId="0" borderId="8" xfId="1" applyNumberFormat="1" applyFont="1" applyBorder="1" applyAlignment="1">
      <alignment horizontal="center" vertical="center" wrapText="1" readingOrder="1"/>
    </xf>
    <xf numFmtId="4" fontId="32" fillId="0" borderId="0" xfId="0" applyNumberFormat="1" applyFont="1" applyAlignment="1">
      <alignment horizontal="center"/>
    </xf>
    <xf numFmtId="192" fontId="9" fillId="0" borderId="8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 wrapText="1" readingOrder="1"/>
    </xf>
    <xf numFmtId="4" fontId="8" fillId="0" borderId="0" xfId="0" applyNumberFormat="1" applyFont="1"/>
    <xf numFmtId="4" fontId="2" fillId="0" borderId="0" xfId="0" applyNumberFormat="1" applyFont="1" applyAlignment="1">
      <alignment horizontal="center"/>
    </xf>
    <xf numFmtId="3" fontId="10" fillId="0" borderId="8" xfId="0" applyNumberFormat="1" applyFont="1" applyBorder="1" applyAlignment="1">
      <alignment horizontal="center" vertical="center" wrapText="1" readingOrder="1"/>
    </xf>
    <xf numFmtId="3" fontId="10" fillId="14" borderId="8" xfId="0" applyNumberFormat="1" applyFont="1" applyFill="1" applyBorder="1" applyAlignment="1">
      <alignment horizontal="center" vertical="center" wrapText="1" readingOrder="1"/>
    </xf>
    <xf numFmtId="3" fontId="28" fillId="15" borderId="8" xfId="0" applyNumberFormat="1" applyFont="1" applyFill="1" applyBorder="1" applyAlignment="1">
      <alignment horizontal="center" vertical="center" wrapText="1" readingOrder="1"/>
    </xf>
    <xf numFmtId="4" fontId="27" fillId="0" borderId="8" xfId="0" applyNumberFormat="1" applyFont="1" applyBorder="1" applyAlignment="1">
      <alignment horizontal="center" vertical="center" wrapText="1" readingOrder="1"/>
    </xf>
    <xf numFmtId="0" fontId="27" fillId="0" borderId="8" xfId="0" applyFont="1" applyBorder="1" applyAlignment="1">
      <alignment horizontal="center" vertical="center"/>
    </xf>
    <xf numFmtId="3" fontId="26" fillId="15" borderId="8" xfId="0" applyNumberFormat="1" applyFont="1" applyFill="1" applyBorder="1" applyAlignment="1">
      <alignment horizontal="center" vertical="center" wrapText="1" readingOrder="1"/>
    </xf>
    <xf numFmtId="3" fontId="26" fillId="16" borderId="8" xfId="0" applyNumberFormat="1" applyFont="1" applyFill="1" applyBorder="1" applyAlignment="1">
      <alignment horizontal="center" vertical="center" wrapText="1" readingOrder="1"/>
    </xf>
    <xf numFmtId="3" fontId="27" fillId="14" borderId="8" xfId="0" applyNumberFormat="1" applyFont="1" applyFill="1" applyBorder="1" applyAlignment="1">
      <alignment horizontal="center" vertical="center" wrapText="1" readingOrder="1"/>
    </xf>
    <xf numFmtId="2" fontId="27" fillId="0" borderId="8" xfId="0" applyNumberFormat="1" applyFont="1" applyBorder="1" applyAlignment="1">
      <alignment horizontal="center" vertical="center"/>
    </xf>
    <xf numFmtId="3" fontId="28" fillId="14" borderId="8" xfId="0" applyNumberFormat="1" applyFont="1" applyFill="1" applyBorder="1" applyAlignment="1">
      <alignment horizontal="center" vertical="center" wrapText="1" readingOrder="1"/>
    </xf>
    <xf numFmtId="3" fontId="28" fillId="16" borderId="8" xfId="0" applyNumberFormat="1" applyFont="1" applyFill="1" applyBorder="1" applyAlignment="1">
      <alignment horizontal="center" vertical="center" wrapText="1" readingOrder="1"/>
    </xf>
    <xf numFmtId="4" fontId="33" fillId="0" borderId="8" xfId="0" applyNumberFormat="1" applyFont="1" applyBorder="1" applyAlignment="1">
      <alignment horizontal="center" vertical="center"/>
    </xf>
    <xf numFmtId="43" fontId="26" fillId="0" borderId="8" xfId="1" applyFont="1" applyBorder="1" applyAlignment="1">
      <alignment horizontal="center" vertical="center"/>
    </xf>
    <xf numFmtId="188" fontId="27" fillId="0" borderId="8" xfId="1" applyNumberFormat="1" applyFont="1" applyBorder="1" applyAlignment="1">
      <alignment horizontal="center" vertical="center"/>
    </xf>
    <xf numFmtId="188" fontId="26" fillId="0" borderId="8" xfId="1" applyNumberFormat="1" applyFont="1" applyBorder="1" applyAlignment="1">
      <alignment horizontal="center" vertical="center"/>
    </xf>
    <xf numFmtId="0" fontId="34" fillId="17" borderId="20" xfId="3" applyFont="1" applyFill="1" applyBorder="1" applyAlignment="1">
      <alignment horizontal="center"/>
    </xf>
    <xf numFmtId="0" fontId="34" fillId="0" borderId="21" xfId="3" applyFont="1" applyBorder="1" applyAlignment="1">
      <alignment horizontal="right" wrapText="1"/>
    </xf>
    <xf numFmtId="0" fontId="34" fillId="0" borderId="21" xfId="3" applyFont="1" applyBorder="1" applyAlignment="1">
      <alignment wrapText="1"/>
    </xf>
    <xf numFmtId="4" fontId="34" fillId="0" borderId="21" xfId="3" applyNumberFormat="1" applyFont="1" applyBorder="1" applyAlignment="1">
      <alignment horizontal="right" wrapText="1"/>
    </xf>
    <xf numFmtId="0" fontId="26" fillId="0" borderId="15" xfId="0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center" vertical="center" wrapText="1" readingOrder="1"/>
    </xf>
    <xf numFmtId="3" fontId="28" fillId="0" borderId="16" xfId="0" applyNumberFormat="1" applyFont="1" applyBorder="1" applyAlignment="1">
      <alignment horizontal="center" vertical="center" wrapText="1" readingOrder="1"/>
    </xf>
    <xf numFmtId="4" fontId="36" fillId="0" borderId="8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3" fontId="26" fillId="15" borderId="18" xfId="0" applyNumberFormat="1" applyFont="1" applyFill="1" applyBorder="1" applyAlignment="1">
      <alignment horizontal="center" vertical="center" wrapText="1" readingOrder="1"/>
    </xf>
    <xf numFmtId="3" fontId="26" fillId="15" borderId="19" xfId="0" applyNumberFormat="1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 readingOrder="1"/>
    </xf>
    <xf numFmtId="3" fontId="12" fillId="11" borderId="8" xfId="0" applyNumberFormat="1" applyFont="1" applyFill="1" applyBorder="1" applyAlignment="1">
      <alignment horizontal="center" vertical="center" wrapText="1"/>
    </xf>
    <xf numFmtId="3" fontId="12" fillId="10" borderId="8" xfId="0" applyNumberFormat="1" applyFont="1" applyFill="1" applyBorder="1" applyAlignment="1">
      <alignment horizontal="center" vertical="center" wrapText="1"/>
    </xf>
    <xf numFmtId="3" fontId="12" fillId="6" borderId="8" xfId="0" applyNumberFormat="1" applyFont="1" applyFill="1" applyBorder="1" applyAlignment="1">
      <alignment horizontal="center" vertical="center" wrapText="1"/>
    </xf>
    <xf numFmtId="3" fontId="12" fillId="3" borderId="8" xfId="0" applyNumberFormat="1" applyFont="1" applyFill="1" applyBorder="1" applyAlignment="1">
      <alignment horizontal="center" vertical="center" wrapText="1"/>
    </xf>
    <xf numFmtId="189" fontId="14" fillId="6" borderId="8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 readingOrder="1"/>
    </xf>
    <xf numFmtId="3" fontId="14" fillId="9" borderId="8" xfId="0" applyNumberFormat="1" applyFont="1" applyFill="1" applyBorder="1" applyAlignment="1">
      <alignment horizontal="center" vertical="center" wrapText="1"/>
    </xf>
    <xf numFmtId="43" fontId="6" fillId="7" borderId="8" xfId="1" applyFont="1" applyFill="1" applyBorder="1" applyAlignment="1">
      <alignment horizontal="center" vertical="center" wrapText="1" readingOrder="1"/>
    </xf>
    <xf numFmtId="3" fontId="14" fillId="8" borderId="8" xfId="0" applyNumberFormat="1" applyFont="1" applyFill="1" applyBorder="1" applyAlignment="1">
      <alignment horizontal="center" vertical="center" wrapText="1"/>
    </xf>
    <xf numFmtId="43" fontId="8" fillId="7" borderId="8" xfId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 readingOrder="1"/>
    </xf>
    <xf numFmtId="43" fontId="15" fillId="0" borderId="1" xfId="1" applyFont="1" applyBorder="1" applyAlignment="1">
      <alignment horizontal="center" vertical="center"/>
    </xf>
    <xf numFmtId="43" fontId="15" fillId="0" borderId="4" xfId="1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 readingOrder="1"/>
    </xf>
    <xf numFmtId="0" fontId="6" fillId="4" borderId="11" xfId="0" applyFont="1" applyFill="1" applyBorder="1" applyAlignment="1">
      <alignment horizontal="center" vertical="center" wrapText="1" readingOrder="1"/>
    </xf>
    <xf numFmtId="0" fontId="6" fillId="4" borderId="9" xfId="0" applyFont="1" applyFill="1" applyBorder="1" applyAlignment="1">
      <alignment horizontal="center" vertical="center" wrapText="1" readingOrder="1"/>
    </xf>
    <xf numFmtId="0" fontId="6" fillId="4" borderId="8" xfId="0" applyFont="1" applyFill="1" applyBorder="1" applyAlignment="1">
      <alignment horizontal="center" vertical="center" wrapText="1" readingOrder="1"/>
    </xf>
    <xf numFmtId="0" fontId="28" fillId="4" borderId="8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 readingOrder="1"/>
    </xf>
    <xf numFmtId="3" fontId="14" fillId="9" borderId="10" xfId="0" applyNumberFormat="1" applyFont="1" applyFill="1" applyBorder="1" applyAlignment="1">
      <alignment horizontal="center" vertical="center" wrapText="1"/>
    </xf>
    <xf numFmtId="43" fontId="6" fillId="7" borderId="10" xfId="1" applyFont="1" applyFill="1" applyBorder="1" applyAlignment="1">
      <alignment horizontal="center" vertical="center" wrapText="1" readingOrder="1"/>
    </xf>
    <xf numFmtId="0" fontId="6" fillId="7" borderId="10" xfId="0" applyFont="1" applyFill="1" applyBorder="1" applyAlignment="1">
      <alignment horizontal="center" vertical="center" wrapText="1" readingOrder="1"/>
    </xf>
    <xf numFmtId="3" fontId="14" fillId="8" borderId="10" xfId="0" applyNumberFormat="1" applyFont="1" applyFill="1" applyBorder="1" applyAlignment="1">
      <alignment horizontal="center" vertical="center" wrapText="1"/>
    </xf>
    <xf numFmtId="43" fontId="8" fillId="7" borderId="10" xfId="1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center" wrapText="1"/>
    </xf>
    <xf numFmtId="189" fontId="14" fillId="6" borderId="10" xfId="0" applyNumberFormat="1" applyFont="1" applyFill="1" applyBorder="1" applyAlignment="1">
      <alignment horizontal="center" vertical="center" wrapText="1"/>
    </xf>
    <xf numFmtId="3" fontId="12" fillId="13" borderId="8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 readingOrder="1"/>
    </xf>
    <xf numFmtId="3" fontId="12" fillId="6" borderId="15" xfId="0" applyNumberFormat="1" applyFont="1" applyFill="1" applyBorder="1" applyAlignment="1">
      <alignment horizontal="center" vertical="center" wrapText="1"/>
    </xf>
    <xf numFmtId="3" fontId="12" fillId="3" borderId="17" xfId="0" applyNumberFormat="1" applyFont="1" applyFill="1" applyBorder="1" applyAlignment="1">
      <alignment horizontal="center" vertical="center" wrapText="1"/>
    </xf>
    <xf numFmtId="3" fontId="12" fillId="3" borderId="18" xfId="0" applyNumberFormat="1" applyFont="1" applyFill="1" applyBorder="1" applyAlignment="1">
      <alignment horizontal="center" vertical="center" wrapText="1"/>
    </xf>
    <xf numFmtId="189" fontId="14" fillId="6" borderId="15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 readingOrder="1"/>
    </xf>
    <xf numFmtId="0" fontId="6" fillId="7" borderId="9" xfId="0" applyFont="1" applyFill="1" applyBorder="1" applyAlignment="1">
      <alignment horizontal="center" vertical="center" wrapText="1" readingOrder="1"/>
    </xf>
    <xf numFmtId="4" fontId="28" fillId="0" borderId="8" xfId="0" applyNumberFormat="1" applyFont="1" applyBorder="1" applyAlignment="1">
      <alignment horizontal="center" vertical="center"/>
    </xf>
    <xf numFmtId="4" fontId="28" fillId="0" borderId="8" xfId="0" applyNumberFormat="1" applyFont="1" applyBorder="1" applyAlignment="1">
      <alignment horizontal="center" vertical="center" wrapText="1" readingOrder="1"/>
    </xf>
    <xf numFmtId="0" fontId="28" fillId="0" borderId="8" xfId="0" applyFont="1" applyBorder="1" applyAlignment="1">
      <alignment horizontal="center" vertical="center"/>
    </xf>
  </cellXfs>
  <cellStyles count="4">
    <cellStyle name="Normal 2" xfId="2" xr:uid="{00000000-0005-0000-0000-000002000000}"/>
    <cellStyle name="จุลภาค" xfId="1" builtinId="3"/>
    <cellStyle name="ปกติ" xfId="0" builtinId="0"/>
    <cellStyle name="ปกติ_Sheet1" xfId="3" xr:uid="{142F619A-6DB8-4F32-9D15-6CF150EFB024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2828A"/>
      <color rgb="FF0000FF"/>
      <color rgb="FFF75363"/>
      <color rgb="FFF6ACB1"/>
      <color rgb="FFF5273B"/>
      <color rgb="FFFCC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Sheet2!$B$1:$B$2</c:f>
              <c:strCache>
                <c:ptCount val="2"/>
                <c:pt idx="0">
                  <c:v>CR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Sheet2!$B$3:$B$18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5ACA-465E-A6A5-53B9F19DABAA}"/>
            </c:ext>
          </c:extLst>
        </c:ser>
        <c:ser>
          <c:idx val="1"/>
          <c:order val="1"/>
          <c:tx>
            <c:strRef>
              <c:f>Sheet2!$C$1:$C$2</c:f>
              <c:strCache>
                <c:ptCount val="2"/>
                <c:pt idx="0">
                  <c:v>QR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Sheet2!$C$3:$C$18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5ACA-465E-A6A5-53B9F19DABAA}"/>
            </c:ext>
          </c:extLst>
        </c:ser>
        <c:ser>
          <c:idx val="2"/>
          <c:order val="2"/>
          <c:tx>
            <c:strRef>
              <c:f>Sheet2!$D$1:$D$2</c:f>
              <c:strCache>
                <c:ptCount val="2"/>
                <c:pt idx="0">
                  <c:v>Cash
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Sheet2!$D$3:$D$18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04650512"/>
        <c:axId val="1504629712"/>
      </c:barChart>
      <c:lineChart>
        <c:grouping val="standard"/>
        <c:varyColors val="0"/>
        <c:ser>
          <c:idx val="3"/>
          <c:order val="3"/>
          <c:tx>
            <c:strRef>
              <c:f>Sheet2!$E$1:$E$2</c:f>
              <c:strCache>
                <c:ptCount val="2"/>
                <c:pt idx="0">
                  <c:v>CR
≥ 1.50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Sheet2!$E$3:$E$18</c:f>
              <c:numCache>
                <c:formatCode>0.00</c:formatCode>
                <c:ptCount val="16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65E-A6A5-53B9F19DABAA}"/>
            </c:ext>
          </c:extLst>
        </c:ser>
        <c:ser>
          <c:idx val="4"/>
          <c:order val="4"/>
          <c:tx>
            <c:strRef>
              <c:f>Sheet2!$F$1:$F$2</c:f>
              <c:strCache>
                <c:ptCount val="2"/>
                <c:pt idx="0">
                  <c:v>QR
≥ 1.00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Sheet2!$F$3:$F$18</c:f>
              <c:numCache>
                <c:formatCode>0.00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65E-A6A5-53B9F19DABAA}"/>
            </c:ext>
          </c:extLst>
        </c:ser>
        <c:ser>
          <c:idx val="5"/>
          <c:order val="5"/>
          <c:tx>
            <c:strRef>
              <c:f>Sheet2!$G$1:$G$2</c:f>
              <c:strCache>
                <c:ptCount val="2"/>
                <c:pt idx="0">
                  <c:v>Cash
≥ 0.80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Sheet2!$G$3:$G$18</c:f>
              <c:numCache>
                <c:formatCode>0.00</c:formatCode>
                <c:ptCount val="16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650512"/>
        <c:axId val="1504629712"/>
      </c:lineChart>
      <c:catAx>
        <c:axId val="150465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04629712"/>
        <c:crosses val="autoZero"/>
        <c:auto val="1"/>
        <c:lblAlgn val="ctr"/>
        <c:lblOffset val="100"/>
        <c:noMultiLvlLbl val="0"/>
      </c:catAx>
      <c:valAx>
        <c:axId val="150462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0465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Sheet2!$I$1:$I$2</c:f>
              <c:strCache>
                <c:ptCount val="2"/>
                <c:pt idx="0">
                  <c:v>NI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5"/>
              <c:layout>
                <c:manualLayout>
                  <c:x val="0"/>
                  <c:y val="-0.111731843575418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36-4F6E-BA1E-47954184A6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Sheet2!$I$3:$I$18</c:f>
              <c:numCache>
                <c:formatCode>#.00,,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2721-4CB6-9636-5115EE2436EC}"/>
            </c:ext>
          </c:extLst>
        </c:ser>
        <c:ser>
          <c:idx val="1"/>
          <c:order val="1"/>
          <c:tx>
            <c:strRef>
              <c:f>Sheet2!$J$1:$J$2</c:f>
              <c:strCache>
                <c:ptCount val="2"/>
                <c:pt idx="0">
                  <c:v>EBITDA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Sheet2!$J$3:$J$18</c:f>
              <c:numCache>
                <c:formatCode>#.00,,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2721-4CB6-9636-5115EE2436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5397504"/>
        <c:axId val="1525396672"/>
      </c:barChart>
      <c:catAx>
        <c:axId val="152539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25396672"/>
        <c:crosses val="autoZero"/>
        <c:auto val="1"/>
        <c:lblAlgn val="ctr"/>
        <c:lblOffset val="100"/>
        <c:noMultiLvlLbl val="0"/>
      </c:catAx>
      <c:valAx>
        <c:axId val="15253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2539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271462</xdr:colOff>
      <xdr:row>0</xdr:row>
      <xdr:rowOff>276225</xdr:rowOff>
    </xdr:from>
    <xdr:to>
      <xdr:col>17</xdr:col>
      <xdr:colOff>42862</xdr:colOff>
      <xdr:row>8</xdr:row>
      <xdr:rowOff>257175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8137A6BD-C129-551A-FEC0-557EA1D86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309562</xdr:colOff>
      <xdr:row>9</xdr:row>
      <xdr:rowOff>238125</xdr:rowOff>
    </xdr:from>
    <xdr:to>
      <xdr:col>21</xdr:col>
      <xdr:colOff>19050</xdr:colOff>
      <xdr:row>21</xdr:row>
      <xdr:rowOff>104775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B94284B3-AF4E-9E3F-7788-5AE1A33E34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6" sqref="I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4" t="s">
        <v>62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" t="s">
        <v>53</v>
      </c>
      <c r="P1" s="38">
        <v>44886</v>
      </c>
    </row>
    <row r="2" spans="1:25" ht="54.75" customHeight="1" thickBot="1" x14ac:dyDescent="0.3">
      <c r="C2" s="115" t="s">
        <v>41</v>
      </c>
      <c r="D2" s="116" t="s">
        <v>40</v>
      </c>
      <c r="E2" s="116"/>
      <c r="F2" s="116"/>
      <c r="G2" s="116"/>
      <c r="H2" s="117" t="s">
        <v>39</v>
      </c>
      <c r="I2" s="117"/>
      <c r="J2" s="117"/>
      <c r="K2" s="118" t="s">
        <v>38</v>
      </c>
      <c r="L2" s="118"/>
      <c r="M2" s="118"/>
      <c r="N2" s="119" t="s">
        <v>63</v>
      </c>
      <c r="O2" s="127" t="s">
        <v>64</v>
      </c>
      <c r="P2" s="127" t="s">
        <v>56</v>
      </c>
      <c r="Q2" s="121" t="s">
        <v>61</v>
      </c>
    </row>
    <row r="3" spans="1:25" ht="38.25" customHeight="1" thickBot="1" x14ac:dyDescent="0.3">
      <c r="C3" s="115"/>
      <c r="D3" s="122" t="s">
        <v>36</v>
      </c>
      <c r="E3" s="122" t="s">
        <v>35</v>
      </c>
      <c r="F3" s="122" t="s">
        <v>34</v>
      </c>
      <c r="G3" s="123" t="s">
        <v>29</v>
      </c>
      <c r="H3" s="124" t="s">
        <v>33</v>
      </c>
      <c r="I3" s="115" t="s">
        <v>32</v>
      </c>
      <c r="J3" s="125" t="s">
        <v>29</v>
      </c>
      <c r="K3" s="126" t="s">
        <v>31</v>
      </c>
      <c r="L3" s="115" t="s">
        <v>30</v>
      </c>
      <c r="M3" s="120" t="s">
        <v>29</v>
      </c>
      <c r="N3" s="119"/>
      <c r="O3" s="127"/>
      <c r="P3" s="127"/>
      <c r="Q3" s="121"/>
    </row>
    <row r="4" spans="1:25" ht="36.75" customHeight="1" thickBot="1" x14ac:dyDescent="0.3">
      <c r="C4" s="115"/>
      <c r="D4" s="122"/>
      <c r="E4" s="122"/>
      <c r="F4" s="122"/>
      <c r="G4" s="123"/>
      <c r="H4" s="124"/>
      <c r="I4" s="115"/>
      <c r="J4" s="125"/>
      <c r="K4" s="126"/>
      <c r="L4" s="115"/>
      <c r="M4" s="120"/>
      <c r="N4" s="119"/>
      <c r="O4" s="127"/>
      <c r="P4" s="127"/>
      <c r="Q4" s="121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47">
        <v>2.68</v>
      </c>
      <c r="E5" s="47">
        <v>2.44</v>
      </c>
      <c r="F5" s="47">
        <v>1.32</v>
      </c>
      <c r="G5" s="43">
        <f t="shared" ref="G5:G20" si="0">(IF(D5&lt;1.5,1,0))+(IF(E5&lt;1,1,0))+(IF(F5&lt;0.8,1,0))</f>
        <v>0</v>
      </c>
      <c r="H5" s="69">
        <v>394880875.94</v>
      </c>
      <c r="I5" s="46">
        <v>29408854.370000001</v>
      </c>
      <c r="J5" s="43">
        <f t="shared" ref="J5:J20" si="1">IF(I5&lt;0,1,0)+IF(H5&lt;0,1,0)</f>
        <v>0</v>
      </c>
      <c r="K5" s="45">
        <f t="shared" ref="K5:K20" si="2">SUM(I5/1)</f>
        <v>29408854.370000001</v>
      </c>
      <c r="L5" s="41">
        <f t="shared" ref="L5:L20" si="3">+H5/K5</f>
        <v>13.427278430227405</v>
      </c>
      <c r="M5" s="43">
        <f t="shared" ref="M5:M20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42">
        <f t="shared" ref="N5:N20" si="5">SUM(G5+J5+M5)</f>
        <v>0</v>
      </c>
      <c r="O5" s="42">
        <v>0</v>
      </c>
      <c r="P5" s="55">
        <v>36696497.740000002</v>
      </c>
      <c r="Q5" s="46">
        <v>76101189.170000002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47">
        <v>2.08</v>
      </c>
      <c r="E6" s="47">
        <v>1.99</v>
      </c>
      <c r="F6" s="47">
        <v>1.1599999999999999</v>
      </c>
      <c r="G6" s="43">
        <f t="shared" si="0"/>
        <v>0</v>
      </c>
      <c r="H6" s="46">
        <v>143206204.16</v>
      </c>
      <c r="I6" s="46">
        <v>2116390.8199999998</v>
      </c>
      <c r="J6" s="43">
        <f t="shared" si="1"/>
        <v>0</v>
      </c>
      <c r="K6" s="45">
        <f>SUM(I6/1)</f>
        <v>2116390.8199999998</v>
      </c>
      <c r="L6" s="41">
        <f t="shared" si="3"/>
        <v>67.665292632482689</v>
      </c>
      <c r="M6" s="43">
        <f t="shared" si="4"/>
        <v>0</v>
      </c>
      <c r="N6" s="42">
        <f t="shared" si="5"/>
        <v>0</v>
      </c>
      <c r="O6" s="42">
        <v>0</v>
      </c>
      <c r="P6" s="55">
        <v>7180242.8099999996</v>
      </c>
      <c r="Q6" s="46">
        <v>20987292.780000001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47">
        <v>3.93</v>
      </c>
      <c r="E7" s="47">
        <v>3.71</v>
      </c>
      <c r="F7" s="47">
        <v>2.89</v>
      </c>
      <c r="G7" s="43">
        <f t="shared" si="0"/>
        <v>0</v>
      </c>
      <c r="H7" s="46">
        <v>75101814.209999993</v>
      </c>
      <c r="I7" s="51">
        <v>-487961.53</v>
      </c>
      <c r="J7" s="39">
        <f t="shared" si="1"/>
        <v>1</v>
      </c>
      <c r="K7" s="48">
        <f t="shared" si="2"/>
        <v>-487961.53</v>
      </c>
      <c r="L7" s="41">
        <f t="shared" si="3"/>
        <v>-153.90929323875181</v>
      </c>
      <c r="M7" s="43">
        <f t="shared" si="4"/>
        <v>0</v>
      </c>
      <c r="N7" s="42">
        <f>SUM(G7+J7+M7)</f>
        <v>1</v>
      </c>
      <c r="O7" s="42">
        <v>0</v>
      </c>
      <c r="P7" s="51">
        <v>-198571.15</v>
      </c>
      <c r="Q7" s="46">
        <v>48498226.840000004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47">
        <v>18.55</v>
      </c>
      <c r="E8" s="47">
        <v>18.25</v>
      </c>
      <c r="F8" s="47">
        <v>16.5</v>
      </c>
      <c r="G8" s="43">
        <f t="shared" si="0"/>
        <v>0</v>
      </c>
      <c r="H8" s="46">
        <v>151345512.21000001</v>
      </c>
      <c r="I8" s="51">
        <v>-794590.62</v>
      </c>
      <c r="J8" s="39">
        <f t="shared" si="1"/>
        <v>1</v>
      </c>
      <c r="K8" s="48">
        <f t="shared" si="2"/>
        <v>-794590.62</v>
      </c>
      <c r="L8" s="41">
        <f t="shared" si="3"/>
        <v>-190.46979463462583</v>
      </c>
      <c r="M8" s="43">
        <f t="shared" si="4"/>
        <v>0</v>
      </c>
      <c r="N8" s="42">
        <f t="shared" si="5"/>
        <v>1</v>
      </c>
      <c r="O8" s="42">
        <v>0</v>
      </c>
      <c r="P8" s="51">
        <v>-138203.57999999999</v>
      </c>
      <c r="Q8" s="46">
        <v>133638508.97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47">
        <v>6.06</v>
      </c>
      <c r="E9" s="47">
        <v>5.67</v>
      </c>
      <c r="F9" s="47">
        <v>4.4000000000000004</v>
      </c>
      <c r="G9" s="43">
        <f t="shared" si="0"/>
        <v>0</v>
      </c>
      <c r="H9" s="46">
        <v>57811709.740000002</v>
      </c>
      <c r="I9" s="79">
        <v>-6483386.0999999996</v>
      </c>
      <c r="J9" s="39">
        <f t="shared" si="1"/>
        <v>1</v>
      </c>
      <c r="K9" s="48">
        <f t="shared" si="2"/>
        <v>-6483386.0999999996</v>
      </c>
      <c r="L9" s="41">
        <f t="shared" si="3"/>
        <v>-8.9169006516517673</v>
      </c>
      <c r="M9" s="43">
        <f t="shared" si="4"/>
        <v>0</v>
      </c>
      <c r="N9" s="42">
        <f t="shared" si="5"/>
        <v>1</v>
      </c>
      <c r="O9" s="42">
        <v>0</v>
      </c>
      <c r="P9" s="51">
        <v>-5842500.9900000002</v>
      </c>
      <c r="Q9" s="46">
        <v>38862071.829999998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47">
        <v>2.11</v>
      </c>
      <c r="E10" s="47">
        <v>1.96</v>
      </c>
      <c r="F10" s="47">
        <v>1.31</v>
      </c>
      <c r="G10" s="43">
        <f t="shared" si="0"/>
        <v>0</v>
      </c>
      <c r="H10" s="46">
        <v>18594863.300000001</v>
      </c>
      <c r="I10" s="51">
        <v>-1340784.58</v>
      </c>
      <c r="J10" s="39">
        <f t="shared" si="1"/>
        <v>1</v>
      </c>
      <c r="K10" s="48">
        <f t="shared" si="2"/>
        <v>-1340784.58</v>
      </c>
      <c r="L10" s="41">
        <f t="shared" si="3"/>
        <v>-13.868643462471802</v>
      </c>
      <c r="M10" s="43">
        <f t="shared" si="4"/>
        <v>0</v>
      </c>
      <c r="N10" s="42">
        <f t="shared" si="5"/>
        <v>1</v>
      </c>
      <c r="O10" s="42">
        <v>0</v>
      </c>
      <c r="P10" s="51">
        <v>-1020997.77</v>
      </c>
      <c r="Q10" s="46">
        <v>5112740.71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47">
        <v>9.84</v>
      </c>
      <c r="E11" s="47">
        <v>9.4700000000000006</v>
      </c>
      <c r="F11" s="47">
        <v>8.7899999999999991</v>
      </c>
      <c r="G11" s="43">
        <f t="shared" si="0"/>
        <v>0</v>
      </c>
      <c r="H11" s="46">
        <v>253721343.36000001</v>
      </c>
      <c r="I11" s="51">
        <v>-12974634.970000001</v>
      </c>
      <c r="J11" s="39">
        <f t="shared" si="1"/>
        <v>1</v>
      </c>
      <c r="K11" s="48">
        <f t="shared" si="2"/>
        <v>-12974634.970000001</v>
      </c>
      <c r="L11" s="41">
        <f t="shared" si="3"/>
        <v>-19.555181625275427</v>
      </c>
      <c r="M11" s="43">
        <f t="shared" si="4"/>
        <v>0</v>
      </c>
      <c r="N11" s="42">
        <f t="shared" si="5"/>
        <v>1</v>
      </c>
      <c r="O11" s="42">
        <v>0</v>
      </c>
      <c r="P11" s="51">
        <v>-4986240.4000000004</v>
      </c>
      <c r="Q11" s="46">
        <v>221434725.44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47">
        <v>3.09</v>
      </c>
      <c r="E12" s="47">
        <v>2.8</v>
      </c>
      <c r="F12" s="47">
        <v>2.08</v>
      </c>
      <c r="G12" s="43">
        <f t="shared" si="0"/>
        <v>0</v>
      </c>
      <c r="H12" s="46">
        <v>37519182.350000001</v>
      </c>
      <c r="I12" s="51">
        <v>-479473.2</v>
      </c>
      <c r="J12" s="39">
        <f t="shared" si="1"/>
        <v>1</v>
      </c>
      <c r="K12" s="48">
        <f t="shared" si="2"/>
        <v>-479473.2</v>
      </c>
      <c r="L12" s="41">
        <f t="shared" si="3"/>
        <v>-78.250843529940781</v>
      </c>
      <c r="M12" s="43">
        <f t="shared" si="4"/>
        <v>0</v>
      </c>
      <c r="N12" s="42">
        <f t="shared" si="5"/>
        <v>1</v>
      </c>
      <c r="O12" s="42">
        <v>0</v>
      </c>
      <c r="P12" s="51">
        <v>-189385.75</v>
      </c>
      <c r="Q12" s="46">
        <v>18655803.98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47">
        <v>12.12</v>
      </c>
      <c r="E13" s="47">
        <v>11.78</v>
      </c>
      <c r="F13" s="47">
        <v>9.43</v>
      </c>
      <c r="G13" s="43">
        <f t="shared" si="0"/>
        <v>0</v>
      </c>
      <c r="H13" s="46">
        <v>93168108.239999995</v>
      </c>
      <c r="I13" s="51">
        <v>-1388952.06</v>
      </c>
      <c r="J13" s="39">
        <f t="shared" si="1"/>
        <v>1</v>
      </c>
      <c r="K13" s="48">
        <f t="shared" si="2"/>
        <v>-1388952.06</v>
      </c>
      <c r="L13" s="41">
        <f t="shared" si="3"/>
        <v>-67.077987011301161</v>
      </c>
      <c r="M13" s="43">
        <f t="shared" si="4"/>
        <v>0</v>
      </c>
      <c r="N13" s="42">
        <f t="shared" si="5"/>
        <v>1</v>
      </c>
      <c r="O13" s="42">
        <v>0</v>
      </c>
      <c r="P13" s="51">
        <v>-911124.86</v>
      </c>
      <c r="Q13" s="46">
        <v>70474787.150000006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47">
        <v>5.21</v>
      </c>
      <c r="E14" s="47">
        <v>5.09</v>
      </c>
      <c r="F14" s="47">
        <v>3.97</v>
      </c>
      <c r="G14" s="43">
        <f t="shared" si="0"/>
        <v>0</v>
      </c>
      <c r="H14" s="46">
        <v>75431863.230000004</v>
      </c>
      <c r="I14" s="46">
        <v>353057.08</v>
      </c>
      <c r="J14" s="43">
        <f t="shared" si="1"/>
        <v>0</v>
      </c>
      <c r="K14" s="45">
        <f t="shared" si="2"/>
        <v>353057.08</v>
      </c>
      <c r="L14" s="41">
        <f t="shared" si="3"/>
        <v>213.65345011633812</v>
      </c>
      <c r="M14" s="43">
        <f t="shared" si="4"/>
        <v>0</v>
      </c>
      <c r="N14" s="42">
        <f t="shared" si="5"/>
        <v>0</v>
      </c>
      <c r="O14" s="42">
        <v>0</v>
      </c>
      <c r="P14" s="55">
        <v>1032681.94</v>
      </c>
      <c r="Q14" s="46">
        <v>53292055.030000001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47">
        <v>8.6999999999999993</v>
      </c>
      <c r="E15" s="47">
        <v>8.19</v>
      </c>
      <c r="F15" s="47">
        <v>6.76</v>
      </c>
      <c r="G15" s="43">
        <f t="shared" si="0"/>
        <v>0</v>
      </c>
      <c r="H15" s="46">
        <v>71204447.319999993</v>
      </c>
      <c r="I15" s="46">
        <v>1036844.89</v>
      </c>
      <c r="J15" s="43">
        <f t="shared" si="1"/>
        <v>0</v>
      </c>
      <c r="K15" s="45">
        <f t="shared" si="2"/>
        <v>1036844.89</v>
      </c>
      <c r="L15" s="41">
        <f t="shared" si="3"/>
        <v>68.674155610681552</v>
      </c>
      <c r="M15" s="43">
        <f t="shared" si="4"/>
        <v>0</v>
      </c>
      <c r="N15" s="42">
        <f t="shared" si="5"/>
        <v>0</v>
      </c>
      <c r="O15" s="42">
        <v>0</v>
      </c>
      <c r="P15" s="55">
        <v>1582230.02</v>
      </c>
      <c r="Q15" s="46">
        <v>53262466.450000003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47">
        <v>8.89</v>
      </c>
      <c r="E16" s="47">
        <v>8.48</v>
      </c>
      <c r="F16" s="47">
        <v>6.74</v>
      </c>
      <c r="G16" s="43">
        <f t="shared" si="0"/>
        <v>0</v>
      </c>
      <c r="H16" s="46">
        <v>189280203.27000001</v>
      </c>
      <c r="I16" s="69">
        <v>8228678.5999999996</v>
      </c>
      <c r="J16" s="43">
        <f t="shared" si="1"/>
        <v>0</v>
      </c>
      <c r="K16" s="45">
        <f t="shared" si="2"/>
        <v>8228678.5999999996</v>
      </c>
      <c r="L16" s="41">
        <f t="shared" si="3"/>
        <v>23.002502889102999</v>
      </c>
      <c r="M16" s="43">
        <f t="shared" si="4"/>
        <v>0</v>
      </c>
      <c r="N16" s="42">
        <f t="shared" si="5"/>
        <v>0</v>
      </c>
      <c r="O16" s="42">
        <v>0</v>
      </c>
      <c r="P16" s="55">
        <v>9609158.0600000005</v>
      </c>
      <c r="Q16" s="46">
        <v>137669208.93000001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47">
        <v>4.1100000000000003</v>
      </c>
      <c r="E17" s="47">
        <v>3.91</v>
      </c>
      <c r="F17" s="47">
        <v>3.59</v>
      </c>
      <c r="G17" s="43">
        <f t="shared" si="0"/>
        <v>0</v>
      </c>
      <c r="H17" s="46">
        <v>22902026.739999998</v>
      </c>
      <c r="I17" s="51">
        <v>-958088.86</v>
      </c>
      <c r="J17" s="39">
        <f t="shared" si="1"/>
        <v>1</v>
      </c>
      <c r="K17" s="48">
        <f t="shared" si="2"/>
        <v>-958088.86</v>
      </c>
      <c r="L17" s="41">
        <f t="shared" si="3"/>
        <v>-23.903864971355578</v>
      </c>
      <c r="M17" s="43">
        <f t="shared" si="4"/>
        <v>0</v>
      </c>
      <c r="N17" s="42">
        <f t="shared" si="5"/>
        <v>1</v>
      </c>
      <c r="O17" s="42">
        <v>0</v>
      </c>
      <c r="P17" s="51">
        <v>-700447.19</v>
      </c>
      <c r="Q17" s="46">
        <v>19087832.899999999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47">
        <v>16.809999999999999</v>
      </c>
      <c r="E18" s="47">
        <v>16.579999999999998</v>
      </c>
      <c r="F18" s="47">
        <v>14.84</v>
      </c>
      <c r="G18" s="43">
        <f t="shared" si="0"/>
        <v>0</v>
      </c>
      <c r="H18" s="69">
        <v>201660538.88</v>
      </c>
      <c r="I18" s="51">
        <v>-840191.54</v>
      </c>
      <c r="J18" s="39">
        <f t="shared" si="1"/>
        <v>1</v>
      </c>
      <c r="K18" s="48">
        <f t="shared" si="2"/>
        <v>-840191.54</v>
      </c>
      <c r="L18" s="41">
        <f t="shared" si="3"/>
        <v>-240.01734042692215</v>
      </c>
      <c r="M18" s="43">
        <f t="shared" si="4"/>
        <v>0</v>
      </c>
      <c r="N18" s="42">
        <f t="shared" si="5"/>
        <v>1</v>
      </c>
      <c r="O18" s="42">
        <v>0</v>
      </c>
      <c r="P18" s="51">
        <v>-305027.96000000002</v>
      </c>
      <c r="Q18" s="46">
        <v>176529896.22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47">
        <v>3.82</v>
      </c>
      <c r="E19" s="47">
        <v>3.46</v>
      </c>
      <c r="F19" s="47">
        <v>1.63</v>
      </c>
      <c r="G19" s="43">
        <f t="shared" si="0"/>
        <v>0</v>
      </c>
      <c r="H19" s="46">
        <v>23983068.469999999</v>
      </c>
      <c r="I19" s="51">
        <v>-2497167.1</v>
      </c>
      <c r="J19" s="39">
        <f t="shared" si="1"/>
        <v>1</v>
      </c>
      <c r="K19" s="48">
        <f t="shared" si="2"/>
        <v>-2497167.1</v>
      </c>
      <c r="L19" s="41">
        <f t="shared" si="3"/>
        <v>-9.6041103817201492</v>
      </c>
      <c r="M19" s="43">
        <f t="shared" si="4"/>
        <v>0</v>
      </c>
      <c r="N19" s="42">
        <f t="shared" si="5"/>
        <v>1</v>
      </c>
      <c r="O19" s="42">
        <v>0</v>
      </c>
      <c r="P19" s="51">
        <v>-2119758.7400000002</v>
      </c>
      <c r="Q19" s="46">
        <v>5377994.21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47">
        <v>2.86</v>
      </c>
      <c r="E20" s="47">
        <v>2.63</v>
      </c>
      <c r="F20" s="47">
        <v>1.62</v>
      </c>
      <c r="G20" s="43">
        <f t="shared" si="0"/>
        <v>0</v>
      </c>
      <c r="H20" s="46">
        <v>13819941.619999999</v>
      </c>
      <c r="I20" s="51">
        <v>-1444850.49</v>
      </c>
      <c r="J20" s="39">
        <f t="shared" si="1"/>
        <v>1</v>
      </c>
      <c r="K20" s="48">
        <f t="shared" si="2"/>
        <v>-1444850.49</v>
      </c>
      <c r="L20" s="41">
        <f t="shared" si="3"/>
        <v>-9.5649630987078798</v>
      </c>
      <c r="M20" s="43">
        <f t="shared" si="4"/>
        <v>0</v>
      </c>
      <c r="N20" s="42">
        <f t="shared" si="5"/>
        <v>1</v>
      </c>
      <c r="O20" s="42">
        <v>0</v>
      </c>
      <c r="P20" s="51">
        <v>-1064095.42</v>
      </c>
      <c r="Q20" s="46">
        <v>4602647.9800000004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8" t="s">
        <v>5</v>
      </c>
      <c r="M23" s="128"/>
      <c r="N23" s="12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8"/>
      <c r="M24" s="128"/>
      <c r="N24" s="12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8" t="s">
        <v>5</v>
      </c>
      <c r="M25" s="128"/>
      <c r="N25" s="12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8"/>
      <c r="M26" s="128"/>
      <c r="N26" s="12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9" t="s">
        <v>5</v>
      </c>
      <c r="L27" s="12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8" t="s">
        <v>5</v>
      </c>
      <c r="M30" s="128"/>
      <c r="N30" s="12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8"/>
      <c r="M31" s="128"/>
      <c r="N31" s="12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7">
      <colorScale>
        <cfvo type="min"/>
        <cfvo type="max"/>
        <color rgb="FFFCFCFF"/>
        <color rgb="FFF8696B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F19" sqref="F19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46" t="s">
        <v>86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1" t="s">
        <v>53</v>
      </c>
      <c r="P1" s="53">
        <v>243483</v>
      </c>
      <c r="Q1" s="38"/>
    </row>
    <row r="2" spans="1:25" ht="54.75" customHeight="1" thickBot="1" x14ac:dyDescent="0.3">
      <c r="C2" s="115" t="s">
        <v>41</v>
      </c>
      <c r="D2" s="116" t="s">
        <v>40</v>
      </c>
      <c r="E2" s="116"/>
      <c r="F2" s="116"/>
      <c r="G2" s="116"/>
      <c r="H2" s="117" t="s">
        <v>39</v>
      </c>
      <c r="I2" s="117"/>
      <c r="J2" s="117"/>
      <c r="K2" s="118" t="s">
        <v>38</v>
      </c>
      <c r="L2" s="118"/>
      <c r="M2" s="118"/>
      <c r="N2" s="119" t="s">
        <v>87</v>
      </c>
      <c r="O2" s="134" t="s">
        <v>88</v>
      </c>
      <c r="P2" s="134" t="s">
        <v>56</v>
      </c>
      <c r="Q2" s="130" t="s">
        <v>37</v>
      </c>
    </row>
    <row r="3" spans="1:25" ht="38.25" customHeight="1" thickBot="1" x14ac:dyDescent="0.3">
      <c r="C3" s="115"/>
      <c r="D3" s="122" t="s">
        <v>36</v>
      </c>
      <c r="E3" s="122" t="s">
        <v>35</v>
      </c>
      <c r="F3" s="122" t="s">
        <v>34</v>
      </c>
      <c r="G3" s="123" t="s">
        <v>29</v>
      </c>
      <c r="H3" s="124" t="s">
        <v>33</v>
      </c>
      <c r="I3" s="115" t="s">
        <v>32</v>
      </c>
      <c r="J3" s="125" t="s">
        <v>29</v>
      </c>
      <c r="K3" s="126" t="s">
        <v>31</v>
      </c>
      <c r="L3" s="115" t="s">
        <v>30</v>
      </c>
      <c r="M3" s="120" t="s">
        <v>29</v>
      </c>
      <c r="N3" s="119"/>
      <c r="O3" s="134"/>
      <c r="P3" s="134"/>
      <c r="Q3" s="130"/>
    </row>
    <row r="4" spans="1:25" ht="36.75" customHeight="1" thickBot="1" x14ac:dyDescent="0.3">
      <c r="C4" s="115"/>
      <c r="D4" s="122"/>
      <c r="E4" s="122"/>
      <c r="F4" s="122"/>
      <c r="G4" s="123"/>
      <c r="H4" s="124"/>
      <c r="I4" s="115"/>
      <c r="J4" s="125"/>
      <c r="K4" s="126"/>
      <c r="L4" s="115"/>
      <c r="M4" s="120"/>
      <c r="N4" s="119"/>
      <c r="O4" s="134"/>
      <c r="P4" s="134"/>
      <c r="Q4" s="13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8" t="s">
        <v>28</v>
      </c>
      <c r="D5" s="59">
        <v>2.52</v>
      </c>
      <c r="E5" s="59">
        <v>2.25</v>
      </c>
      <c r="F5" s="59">
        <v>1.01</v>
      </c>
      <c r="G5" s="59">
        <f t="shared" ref="G5:G20" si="0">(IF(D5&lt;1.5,1,0))+(IF(E5&lt;1,1,0))+(IF(F5&lt;0.8,1,0))</f>
        <v>0</v>
      </c>
      <c r="H5" s="64">
        <v>380863338.56</v>
      </c>
      <c r="I5" s="63">
        <v>-52105709.07</v>
      </c>
      <c r="J5" s="92">
        <f t="shared" ref="J5:J20" si="1">IF(I5&lt;0,1,0)+IF(H5&lt;0,1,0)</f>
        <v>1</v>
      </c>
      <c r="K5" s="91">
        <f>SUM(I5/10)</f>
        <v>-5210570.9069999997</v>
      </c>
      <c r="L5" s="76">
        <f>+H5/K5</f>
        <v>-73.094358633204578</v>
      </c>
      <c r="M5" s="59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77">
        <f t="shared" ref="N5:N20" si="2">SUM(G5+J5+M5)</f>
        <v>1</v>
      </c>
      <c r="O5" s="77">
        <f>'มิ.ย.66'!N5</f>
        <v>1</v>
      </c>
      <c r="P5" s="64">
        <v>3635793.24</v>
      </c>
      <c r="Q5" s="64">
        <v>2938061.76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8" t="s">
        <v>27</v>
      </c>
      <c r="D6" s="59">
        <v>2.42</v>
      </c>
      <c r="E6" s="59">
        <v>2.2799999999999998</v>
      </c>
      <c r="F6" s="59">
        <v>1.53</v>
      </c>
      <c r="G6" s="59">
        <f t="shared" si="0"/>
        <v>0</v>
      </c>
      <c r="H6" s="64">
        <v>150259650.84</v>
      </c>
      <c r="I6" s="64">
        <v>4043581.86</v>
      </c>
      <c r="J6" s="59">
        <f>IF(I6&lt;0,1,0)+IF(H6&lt;0,1,0)</f>
        <v>0</v>
      </c>
      <c r="K6" s="60">
        <f t="shared" ref="K6:K20" si="3">SUM(I6/10)</f>
        <v>404358.18599999999</v>
      </c>
      <c r="L6" s="76">
        <f>+H6/K6</f>
        <v>371.60036829327356</v>
      </c>
      <c r="M6" s="59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77">
        <f>SUM(G6+J6+M6)</f>
        <v>0</v>
      </c>
      <c r="O6" s="77">
        <f>'มิ.ย.66'!N6</f>
        <v>0</v>
      </c>
      <c r="P6" s="64">
        <v>44227451.43</v>
      </c>
      <c r="Q6" s="64">
        <v>56383326.530000001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8" t="s">
        <v>26</v>
      </c>
      <c r="D7" s="59">
        <v>4.29</v>
      </c>
      <c r="E7" s="59">
        <v>4.1100000000000003</v>
      </c>
      <c r="F7" s="59">
        <v>3.52</v>
      </c>
      <c r="G7" s="59">
        <f t="shared" si="0"/>
        <v>0</v>
      </c>
      <c r="H7" s="64">
        <v>66738819.960000001</v>
      </c>
      <c r="I7" s="63">
        <v>-11971914.09</v>
      </c>
      <c r="J7" s="92">
        <f t="shared" si="1"/>
        <v>1</v>
      </c>
      <c r="K7" s="91">
        <f t="shared" si="3"/>
        <v>-1197191.409</v>
      </c>
      <c r="L7" s="76">
        <f t="shared" ref="L7:L20" si="5">+H7/K7</f>
        <v>-55.746156761804833</v>
      </c>
      <c r="M7" s="59">
        <f t="shared" si="4"/>
        <v>0</v>
      </c>
      <c r="N7" s="77">
        <f t="shared" si="2"/>
        <v>1</v>
      </c>
      <c r="O7" s="77">
        <f>'มิ.ย.66'!N7</f>
        <v>1</v>
      </c>
      <c r="P7" s="63">
        <v>-9968931.3699999992</v>
      </c>
      <c r="Q7" s="64">
        <v>51098371.109999999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8" t="s">
        <v>25</v>
      </c>
      <c r="D8" s="59">
        <v>15.48</v>
      </c>
      <c r="E8" s="59">
        <v>15.21</v>
      </c>
      <c r="F8" s="59">
        <v>14.68</v>
      </c>
      <c r="G8" s="59">
        <f t="shared" si="0"/>
        <v>0</v>
      </c>
      <c r="H8" s="64">
        <v>148187597.53999999</v>
      </c>
      <c r="I8" s="63">
        <v>-14329779.199999999</v>
      </c>
      <c r="J8" s="92">
        <f t="shared" si="1"/>
        <v>1</v>
      </c>
      <c r="K8" s="91">
        <f t="shared" si="3"/>
        <v>-1432977.92</v>
      </c>
      <c r="L8" s="76">
        <f t="shared" si="5"/>
        <v>-103.41233837015437</v>
      </c>
      <c r="M8" s="59">
        <f t="shared" si="4"/>
        <v>0</v>
      </c>
      <c r="N8" s="77">
        <f t="shared" si="2"/>
        <v>1</v>
      </c>
      <c r="O8" s="77">
        <f>'มิ.ย.66'!N8</f>
        <v>1</v>
      </c>
      <c r="P8" s="63">
        <v>-8346399.8600000003</v>
      </c>
      <c r="Q8" s="64">
        <v>139990551.16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8" t="s">
        <v>24</v>
      </c>
      <c r="D9" s="59">
        <v>4.3899999999999997</v>
      </c>
      <c r="E9" s="65">
        <v>4.0599999999999996</v>
      </c>
      <c r="F9" s="59">
        <v>3.35</v>
      </c>
      <c r="G9" s="59">
        <f t="shared" si="0"/>
        <v>0</v>
      </c>
      <c r="H9" s="64">
        <v>40689140.25</v>
      </c>
      <c r="I9" s="63">
        <v>-17593718.879999999</v>
      </c>
      <c r="J9" s="92">
        <f t="shared" si="1"/>
        <v>1</v>
      </c>
      <c r="K9" s="91">
        <f t="shared" si="3"/>
        <v>-1759371.8879999998</v>
      </c>
      <c r="L9" s="76">
        <f t="shared" si="5"/>
        <v>-23.127083323045575</v>
      </c>
      <c r="M9" s="59">
        <f t="shared" si="4"/>
        <v>0</v>
      </c>
      <c r="N9" s="77">
        <f t="shared" si="2"/>
        <v>1</v>
      </c>
      <c r="O9" s="77">
        <f>'มิ.ย.66'!N9</f>
        <v>1</v>
      </c>
      <c r="P9" s="63">
        <v>-12385376.710000001</v>
      </c>
      <c r="Q9" s="64">
        <v>28166635.129999999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8" t="s">
        <v>23</v>
      </c>
      <c r="D10" s="59">
        <v>1.84</v>
      </c>
      <c r="E10" s="59">
        <v>1.66</v>
      </c>
      <c r="F10" s="59">
        <v>1.26</v>
      </c>
      <c r="G10" s="59">
        <f t="shared" si="0"/>
        <v>0</v>
      </c>
      <c r="H10" s="64">
        <v>10851110.26</v>
      </c>
      <c r="I10" s="63">
        <v>-13114699.09</v>
      </c>
      <c r="J10" s="92">
        <f t="shared" si="1"/>
        <v>1</v>
      </c>
      <c r="K10" s="91">
        <f t="shared" si="3"/>
        <v>-1311469.909</v>
      </c>
      <c r="L10" s="76">
        <f t="shared" si="5"/>
        <v>-8.2740062776385059</v>
      </c>
      <c r="M10" s="59">
        <f t="shared" si="4"/>
        <v>0</v>
      </c>
      <c r="N10" s="77">
        <f t="shared" si="2"/>
        <v>1</v>
      </c>
      <c r="O10" s="77">
        <f>'มิ.ย.66'!N10</f>
        <v>1</v>
      </c>
      <c r="P10" s="63">
        <v>-11034042.49</v>
      </c>
      <c r="Q10" s="64">
        <v>3290242.39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8" t="s">
        <v>22</v>
      </c>
      <c r="D11" s="65">
        <v>5.46</v>
      </c>
      <c r="E11" s="59">
        <v>5.21</v>
      </c>
      <c r="F11" s="59">
        <v>4.71</v>
      </c>
      <c r="G11" s="59">
        <f t="shared" si="0"/>
        <v>0</v>
      </c>
      <c r="H11" s="64">
        <v>240421990.61000001</v>
      </c>
      <c r="I11" s="63">
        <v>-75796061.510000005</v>
      </c>
      <c r="J11" s="92">
        <f t="shared" si="1"/>
        <v>1</v>
      </c>
      <c r="K11" s="91">
        <f t="shared" si="3"/>
        <v>-7579606.1510000005</v>
      </c>
      <c r="L11" s="76">
        <f t="shared" si="5"/>
        <v>-31.719588830915761</v>
      </c>
      <c r="M11" s="59">
        <f t="shared" si="4"/>
        <v>0</v>
      </c>
      <c r="N11" s="77">
        <f t="shared" si="2"/>
        <v>1</v>
      </c>
      <c r="O11" s="77">
        <f>'มิ.ย.66'!N11</f>
        <v>1</v>
      </c>
      <c r="P11" s="63">
        <v>-7120722.7599999998</v>
      </c>
      <c r="Q11" s="64">
        <v>198143374.16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8" t="s">
        <v>21</v>
      </c>
      <c r="D12" s="59">
        <v>5.57</v>
      </c>
      <c r="E12" s="59">
        <v>4.96</v>
      </c>
      <c r="F12" s="59">
        <v>3.48</v>
      </c>
      <c r="G12" s="59">
        <f t="shared" si="0"/>
        <v>0</v>
      </c>
      <c r="H12" s="64">
        <v>42957093.420000002</v>
      </c>
      <c r="I12" s="63">
        <v>-5985628.6200000001</v>
      </c>
      <c r="J12" s="92">
        <f t="shared" si="1"/>
        <v>1</v>
      </c>
      <c r="K12" s="91">
        <f t="shared" si="3"/>
        <v>-598562.86199999996</v>
      </c>
      <c r="L12" s="76">
        <f t="shared" si="5"/>
        <v>-71.767054301474531</v>
      </c>
      <c r="M12" s="59">
        <f t="shared" si="4"/>
        <v>0</v>
      </c>
      <c r="N12" s="77">
        <f t="shared" si="2"/>
        <v>1</v>
      </c>
      <c r="O12" s="77">
        <f>'มิ.ย.66'!N12</f>
        <v>1</v>
      </c>
      <c r="P12" s="63">
        <v>-3971786.42</v>
      </c>
      <c r="Q12" s="64">
        <v>23311693.07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8" t="s">
        <v>20</v>
      </c>
      <c r="D13" s="65">
        <v>8.94</v>
      </c>
      <c r="E13" s="65">
        <v>8.66</v>
      </c>
      <c r="F13" s="59">
        <v>7.65</v>
      </c>
      <c r="G13" s="59">
        <f t="shared" si="0"/>
        <v>0</v>
      </c>
      <c r="H13" s="64">
        <v>76399537.150000006</v>
      </c>
      <c r="I13" s="63">
        <v>-16947759.350000001</v>
      </c>
      <c r="J13" s="92">
        <f t="shared" si="1"/>
        <v>1</v>
      </c>
      <c r="K13" s="91">
        <f t="shared" si="3"/>
        <v>-1694775.9350000001</v>
      </c>
      <c r="L13" s="76">
        <f t="shared" si="5"/>
        <v>-45.079432373460037</v>
      </c>
      <c r="M13" s="59">
        <f t="shared" si="4"/>
        <v>0</v>
      </c>
      <c r="N13" s="77">
        <f t="shared" si="2"/>
        <v>1</v>
      </c>
      <c r="O13" s="77">
        <f>'มิ.ย.66'!N13</f>
        <v>1</v>
      </c>
      <c r="P13" s="63">
        <v>-13333045.550000001</v>
      </c>
      <c r="Q13" s="64">
        <v>63714090.68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8" t="s">
        <v>19</v>
      </c>
      <c r="D14" s="65">
        <v>6.11</v>
      </c>
      <c r="E14" s="65">
        <v>5.77</v>
      </c>
      <c r="F14" s="59">
        <v>4.96</v>
      </c>
      <c r="G14" s="59">
        <f t="shared" si="0"/>
        <v>0</v>
      </c>
      <c r="H14" s="64">
        <v>62541978.439999998</v>
      </c>
      <c r="I14" s="63">
        <v>-6267205.7300000004</v>
      </c>
      <c r="J14" s="92">
        <f t="shared" si="1"/>
        <v>1</v>
      </c>
      <c r="K14" s="91">
        <f t="shared" si="3"/>
        <v>-626720.57300000009</v>
      </c>
      <c r="L14" s="76">
        <f t="shared" si="5"/>
        <v>-99.792445205081833</v>
      </c>
      <c r="M14" s="59">
        <f t="shared" si="4"/>
        <v>0</v>
      </c>
      <c r="N14" s="77">
        <f t="shared" si="2"/>
        <v>1</v>
      </c>
      <c r="O14" s="77">
        <f>'มิ.ย.66'!N14</f>
        <v>1</v>
      </c>
      <c r="P14" s="63">
        <v>-1972906.93</v>
      </c>
      <c r="Q14" s="64">
        <v>48469912.729999997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8" t="s">
        <v>18</v>
      </c>
      <c r="D15" s="59">
        <v>6.53</v>
      </c>
      <c r="E15" s="59">
        <v>6.08</v>
      </c>
      <c r="F15" s="65">
        <v>5.32</v>
      </c>
      <c r="G15" s="59">
        <f t="shared" si="0"/>
        <v>0</v>
      </c>
      <c r="H15" s="64">
        <v>61395443.18</v>
      </c>
      <c r="I15" s="63">
        <v>-15720826.18</v>
      </c>
      <c r="J15" s="92">
        <f t="shared" si="1"/>
        <v>1</v>
      </c>
      <c r="K15" s="91">
        <f t="shared" si="3"/>
        <v>-1572082.618</v>
      </c>
      <c r="L15" s="76">
        <f t="shared" si="5"/>
        <v>-39.053572933785851</v>
      </c>
      <c r="M15" s="59">
        <f t="shared" si="4"/>
        <v>0</v>
      </c>
      <c r="N15" s="77">
        <f t="shared" si="2"/>
        <v>1</v>
      </c>
      <c r="O15" s="77">
        <f>'มิ.ย.66'!N15</f>
        <v>1</v>
      </c>
      <c r="P15" s="63">
        <v>-10660547.15</v>
      </c>
      <c r="Q15" s="64">
        <v>48018008.950000003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8" t="s">
        <v>17</v>
      </c>
      <c r="D16" s="59">
        <v>5.76</v>
      </c>
      <c r="E16" s="59">
        <v>5.49</v>
      </c>
      <c r="F16" s="59">
        <v>4.59</v>
      </c>
      <c r="G16" s="59">
        <f t="shared" si="0"/>
        <v>0</v>
      </c>
      <c r="H16" s="64">
        <v>133052885.16</v>
      </c>
      <c r="I16" s="63">
        <v>-31975492.449999999</v>
      </c>
      <c r="J16" s="92">
        <f t="shared" si="1"/>
        <v>1</v>
      </c>
      <c r="K16" s="91">
        <f t="shared" si="3"/>
        <v>-3197549.2450000001</v>
      </c>
      <c r="L16" s="76">
        <f t="shared" si="5"/>
        <v>-41.610894771379819</v>
      </c>
      <c r="M16" s="59">
        <f t="shared" si="4"/>
        <v>0</v>
      </c>
      <c r="N16" s="77">
        <f t="shared" si="2"/>
        <v>1</v>
      </c>
      <c r="O16" s="77">
        <f>'มิ.ย.66'!N16</f>
        <v>1</v>
      </c>
      <c r="P16" s="63">
        <v>-18014656.559999999</v>
      </c>
      <c r="Q16" s="64">
        <v>100412241.16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8" t="s">
        <v>16</v>
      </c>
      <c r="D17" s="59">
        <v>2.8</v>
      </c>
      <c r="E17" s="59">
        <v>2.65</v>
      </c>
      <c r="F17" s="59">
        <v>2.46</v>
      </c>
      <c r="G17" s="59">
        <f t="shared" si="0"/>
        <v>0</v>
      </c>
      <c r="H17" s="64">
        <v>17178691.649999999</v>
      </c>
      <c r="I17" s="63">
        <v>-7441869.9299999997</v>
      </c>
      <c r="J17" s="92">
        <f t="shared" si="1"/>
        <v>1</v>
      </c>
      <c r="K17" s="91">
        <f t="shared" si="3"/>
        <v>-744186.99300000002</v>
      </c>
      <c r="L17" s="76">
        <f t="shared" si="5"/>
        <v>-23.08383754565299</v>
      </c>
      <c r="M17" s="59">
        <f t="shared" si="4"/>
        <v>0</v>
      </c>
      <c r="N17" s="77">
        <f t="shared" si="2"/>
        <v>1</v>
      </c>
      <c r="O17" s="77">
        <f>'มิ.ย.66'!N17</f>
        <v>1</v>
      </c>
      <c r="P17" s="63">
        <v>-6629135.0300000003</v>
      </c>
      <c r="Q17" s="64">
        <v>13902215.73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8" t="s">
        <v>15</v>
      </c>
      <c r="D18" s="65">
        <v>13.39</v>
      </c>
      <c r="E18" s="59">
        <v>13.25</v>
      </c>
      <c r="F18" s="59">
        <v>12.48</v>
      </c>
      <c r="G18" s="59">
        <f t="shared" si="0"/>
        <v>0</v>
      </c>
      <c r="H18" s="64">
        <v>205025094.65000001</v>
      </c>
      <c r="I18" s="63">
        <v>-18284963.66</v>
      </c>
      <c r="J18" s="92">
        <f t="shared" si="1"/>
        <v>1</v>
      </c>
      <c r="K18" s="91">
        <f t="shared" si="3"/>
        <v>-1828496.3659999999</v>
      </c>
      <c r="L18" s="76">
        <f t="shared" si="5"/>
        <v>-112.12770146134379</v>
      </c>
      <c r="M18" s="59">
        <f t="shared" si="4"/>
        <v>0</v>
      </c>
      <c r="N18" s="77">
        <f t="shared" si="2"/>
        <v>1</v>
      </c>
      <c r="O18" s="77">
        <f>'มิ.ย.66'!N18</f>
        <v>1</v>
      </c>
      <c r="P18" s="63">
        <v>-13435313.91</v>
      </c>
      <c r="Q18" s="64">
        <v>189906533.47999999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8" t="s">
        <v>14</v>
      </c>
      <c r="D19" s="92">
        <v>1.34</v>
      </c>
      <c r="E19" s="59">
        <v>1.06</v>
      </c>
      <c r="F19" s="96">
        <v>0.6</v>
      </c>
      <c r="G19" s="92">
        <f t="shared" si="0"/>
        <v>2</v>
      </c>
      <c r="H19" s="64">
        <v>3137165.68</v>
      </c>
      <c r="I19" s="63">
        <v>-16564585.08</v>
      </c>
      <c r="J19" s="92">
        <f t="shared" si="1"/>
        <v>1</v>
      </c>
      <c r="K19" s="91">
        <f t="shared" si="3"/>
        <v>-1656458.5079999999</v>
      </c>
      <c r="L19" s="76">
        <f t="shared" si="5"/>
        <v>-1.8938993429951947</v>
      </c>
      <c r="M19" s="92">
        <f t="shared" si="4"/>
        <v>2</v>
      </c>
      <c r="N19" s="94">
        <f t="shared" si="2"/>
        <v>5</v>
      </c>
      <c r="O19" s="95">
        <f>'มิ.ย.66'!N19</f>
        <v>2</v>
      </c>
      <c r="P19" s="63">
        <v>-13478713.050000001</v>
      </c>
      <c r="Q19" s="63">
        <v>-3730002.74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8" t="s">
        <v>13</v>
      </c>
      <c r="D20" s="59">
        <v>1.73</v>
      </c>
      <c r="E20" s="59">
        <v>1.41</v>
      </c>
      <c r="F20" s="92">
        <v>0.74</v>
      </c>
      <c r="G20" s="92">
        <f t="shared" si="0"/>
        <v>1</v>
      </c>
      <c r="H20" s="64">
        <v>4347976.18</v>
      </c>
      <c r="I20" s="63">
        <v>-10856009.539999999</v>
      </c>
      <c r="J20" s="92">
        <f t="shared" si="1"/>
        <v>1</v>
      </c>
      <c r="K20" s="91">
        <f t="shared" si="3"/>
        <v>-1085600.9539999999</v>
      </c>
      <c r="L20" s="76">
        <f t="shared" si="5"/>
        <v>-4.0051329763293486</v>
      </c>
      <c r="M20" s="59">
        <f t="shared" si="4"/>
        <v>1</v>
      </c>
      <c r="N20" s="93">
        <f t="shared" si="2"/>
        <v>3</v>
      </c>
      <c r="O20" s="95">
        <f>'มิ.ย.66'!N20</f>
        <v>2</v>
      </c>
      <c r="P20" s="63">
        <v>-7228119.5899999999</v>
      </c>
      <c r="Q20" s="63">
        <v>-1560200.22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87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8" t="s">
        <v>5</v>
      </c>
      <c r="M23" s="128"/>
      <c r="N23" s="12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8"/>
      <c r="M24" s="128"/>
      <c r="N24" s="12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8" t="s">
        <v>5</v>
      </c>
      <c r="M25" s="128"/>
      <c r="N25" s="12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8"/>
      <c r="M26" s="128"/>
      <c r="N26" s="12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9" t="s">
        <v>5</v>
      </c>
      <c r="L27" s="12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8" t="s">
        <v>5</v>
      </c>
      <c r="M30" s="128"/>
      <c r="N30" s="12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8"/>
      <c r="M31" s="128"/>
      <c r="N31" s="12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O18">
    <cfRule type="cellIs" dxfId="3" priority="1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 codeName="Sheet11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K7" sqref="K7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6.125" style="1" customWidth="1"/>
    <col min="15" max="15" width="13.375" style="1" customWidth="1"/>
    <col min="16" max="16" width="20.8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46" t="s">
        <v>89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1" t="s">
        <v>53</v>
      </c>
      <c r="P1" s="53">
        <v>243509</v>
      </c>
      <c r="Q1" s="38"/>
    </row>
    <row r="2" spans="1:25" ht="54.75" customHeight="1" thickBot="1" x14ac:dyDescent="0.3">
      <c r="C2" s="115" t="s">
        <v>41</v>
      </c>
      <c r="D2" s="116" t="s">
        <v>40</v>
      </c>
      <c r="E2" s="116"/>
      <c r="F2" s="116"/>
      <c r="G2" s="116"/>
      <c r="H2" s="117" t="s">
        <v>39</v>
      </c>
      <c r="I2" s="117"/>
      <c r="J2" s="117"/>
      <c r="K2" s="118" t="s">
        <v>38</v>
      </c>
      <c r="L2" s="118"/>
      <c r="M2" s="118"/>
      <c r="N2" s="145" t="s">
        <v>90</v>
      </c>
      <c r="O2" s="134" t="s">
        <v>91</v>
      </c>
      <c r="P2" s="134" t="s">
        <v>56</v>
      </c>
      <c r="Q2" s="130" t="s">
        <v>92</v>
      </c>
    </row>
    <row r="3" spans="1:25" ht="38.25" customHeight="1" thickBot="1" x14ac:dyDescent="0.3">
      <c r="C3" s="115"/>
      <c r="D3" s="122" t="s">
        <v>36</v>
      </c>
      <c r="E3" s="122" t="s">
        <v>35</v>
      </c>
      <c r="F3" s="122" t="s">
        <v>34</v>
      </c>
      <c r="G3" s="123" t="s">
        <v>29</v>
      </c>
      <c r="H3" s="124" t="s">
        <v>33</v>
      </c>
      <c r="I3" s="115" t="s">
        <v>32</v>
      </c>
      <c r="J3" s="125" t="s">
        <v>29</v>
      </c>
      <c r="K3" s="126" t="s">
        <v>31</v>
      </c>
      <c r="L3" s="115" t="s">
        <v>30</v>
      </c>
      <c r="M3" s="120" t="s">
        <v>29</v>
      </c>
      <c r="N3" s="145"/>
      <c r="O3" s="134"/>
      <c r="P3" s="134"/>
      <c r="Q3" s="130"/>
    </row>
    <row r="4" spans="1:25" ht="36.75" customHeight="1" thickBot="1" x14ac:dyDescent="0.3">
      <c r="C4" s="115"/>
      <c r="D4" s="122"/>
      <c r="E4" s="122"/>
      <c r="F4" s="122"/>
      <c r="G4" s="123"/>
      <c r="H4" s="124"/>
      <c r="I4" s="115"/>
      <c r="J4" s="125"/>
      <c r="K4" s="126"/>
      <c r="L4" s="115"/>
      <c r="M4" s="120"/>
      <c r="N4" s="145"/>
      <c r="O4" s="134"/>
      <c r="P4" s="134"/>
      <c r="Q4" s="13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59">
        <v>2.3199999999999998</v>
      </c>
      <c r="E5" s="59">
        <v>2.09</v>
      </c>
      <c r="F5" s="65">
        <v>0.97</v>
      </c>
      <c r="G5" s="59">
        <f t="shared" ref="G5:G20" si="0">(IF(D5&lt;1.5,1,0))+(IF(E5&lt;1,1,0))+(IF(F5&lt;0.8,1,0))</f>
        <v>0</v>
      </c>
      <c r="H5" s="100">
        <v>357154712.88999999</v>
      </c>
      <c r="I5" s="63">
        <v>-90833426.549999997</v>
      </c>
      <c r="J5" s="92">
        <f t="shared" ref="J5:J20" si="1">IF(I5&lt;0,1,0)+IF(H5&lt;0,1,0)</f>
        <v>1</v>
      </c>
      <c r="K5" s="91">
        <f t="shared" ref="K5:K20" si="2">SUM(I5/11)</f>
        <v>-8257584.2318181815</v>
      </c>
      <c r="L5" s="61">
        <f>+H5/K5</f>
        <v>-43.251719009272584</v>
      </c>
      <c r="M5" s="59">
        <f t="shared" ref="M5:M11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62">
        <f>SUM(G5+J5+M5)</f>
        <v>1</v>
      </c>
      <c r="O5" s="62">
        <f>'ก.ค.66'!N5</f>
        <v>1</v>
      </c>
      <c r="P5" s="63">
        <v>-27885244.420000002</v>
      </c>
      <c r="Q5" s="101">
        <v>-8681523.3100000005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59">
        <v>2.2400000000000002</v>
      </c>
      <c r="E6" s="65">
        <v>2.12</v>
      </c>
      <c r="F6" s="59">
        <v>1.36</v>
      </c>
      <c r="G6" s="59">
        <f t="shared" si="0"/>
        <v>0</v>
      </c>
      <c r="H6" s="100">
        <v>142647959.68000001</v>
      </c>
      <c r="I6" s="63">
        <v>-6845887.4199999999</v>
      </c>
      <c r="J6" s="92">
        <f>IF(I6&lt;0,1,0)+IF(H6&lt;0,1,0)</f>
        <v>1</v>
      </c>
      <c r="K6" s="91">
        <f t="shared" si="2"/>
        <v>-622353.40181818185</v>
      </c>
      <c r="L6" s="61">
        <f>+H6/K6</f>
        <v>-229.20732699983546</v>
      </c>
      <c r="M6" s="59">
        <f t="shared" si="3"/>
        <v>0</v>
      </c>
      <c r="N6" s="62">
        <f>SUM(G6+J6+M6)</f>
        <v>1</v>
      </c>
      <c r="O6" s="62">
        <f>'ก.ค.66'!N6</f>
        <v>0</v>
      </c>
      <c r="P6" s="99">
        <v>38612566.5</v>
      </c>
      <c r="Q6" s="102">
        <v>40878179.210000001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65">
        <v>4.25</v>
      </c>
      <c r="E7" s="59">
        <v>4.04</v>
      </c>
      <c r="F7" s="65">
        <v>3.48</v>
      </c>
      <c r="G7" s="59">
        <f t="shared" si="0"/>
        <v>0</v>
      </c>
      <c r="H7" s="100">
        <v>62824737.990000002</v>
      </c>
      <c r="I7" s="63">
        <v>-15248324.18</v>
      </c>
      <c r="J7" s="92">
        <f t="shared" si="1"/>
        <v>1</v>
      </c>
      <c r="K7" s="91">
        <f t="shared" si="2"/>
        <v>-1386211.2890909091</v>
      </c>
      <c r="L7" s="61">
        <f t="shared" ref="L7:L20" si="4">+H7/K7</f>
        <v>-45.321184789370079</v>
      </c>
      <c r="M7" s="59">
        <f t="shared" si="3"/>
        <v>0</v>
      </c>
      <c r="N7" s="62">
        <f t="shared" ref="N7:N20" si="5">SUM(G7+J7+M7)</f>
        <v>1</v>
      </c>
      <c r="O7" s="62">
        <f>'ก.ค.66'!N7</f>
        <v>1</v>
      </c>
      <c r="P7" s="63">
        <v>-12956088.58</v>
      </c>
      <c r="Q7" s="102">
        <v>47957889.859999999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59">
        <v>15.31</v>
      </c>
      <c r="E8" s="59">
        <v>15.1</v>
      </c>
      <c r="F8" s="65">
        <v>14.54</v>
      </c>
      <c r="G8" s="59">
        <f t="shared" si="0"/>
        <v>0</v>
      </c>
      <c r="H8" s="100">
        <v>143214074.94</v>
      </c>
      <c r="I8" s="63">
        <v>-17772258.510000002</v>
      </c>
      <c r="J8" s="92">
        <f t="shared" si="1"/>
        <v>1</v>
      </c>
      <c r="K8" s="91">
        <f t="shared" si="2"/>
        <v>-1615659.8645454547</v>
      </c>
      <c r="L8" s="61">
        <f t="shared" si="4"/>
        <v>-88.641228319607634</v>
      </c>
      <c r="M8" s="59">
        <f t="shared" si="3"/>
        <v>0</v>
      </c>
      <c r="N8" s="62">
        <f t="shared" si="5"/>
        <v>1</v>
      </c>
      <c r="O8" s="62">
        <f>'ก.ค.66'!N8</f>
        <v>1</v>
      </c>
      <c r="P8" s="63">
        <v>-11086622.460000001</v>
      </c>
      <c r="Q8" s="102">
        <v>135467258.43000001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59">
        <v>3.79</v>
      </c>
      <c r="E9" s="59">
        <v>3.49</v>
      </c>
      <c r="F9" s="59">
        <v>2.86</v>
      </c>
      <c r="G9" s="59">
        <f t="shared" si="0"/>
        <v>0</v>
      </c>
      <c r="H9" s="100">
        <v>36574536.170000002</v>
      </c>
      <c r="I9" s="63">
        <v>-22389870.91</v>
      </c>
      <c r="J9" s="92">
        <f t="shared" si="1"/>
        <v>1</v>
      </c>
      <c r="K9" s="91">
        <f t="shared" si="2"/>
        <v>-2035442.81</v>
      </c>
      <c r="L9" s="61">
        <f t="shared" si="4"/>
        <v>-17.968835081148754</v>
      </c>
      <c r="M9" s="59">
        <f t="shared" si="3"/>
        <v>0</v>
      </c>
      <c r="N9" s="62">
        <f t="shared" si="5"/>
        <v>1</v>
      </c>
      <c r="O9" s="62">
        <f>'ก.ค.66'!N9</f>
        <v>1</v>
      </c>
      <c r="P9" s="63">
        <v>-16470020.789999999</v>
      </c>
      <c r="Q9" s="102">
        <v>24286622.120000001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59">
        <v>1.58</v>
      </c>
      <c r="E10" s="65">
        <v>1.45</v>
      </c>
      <c r="F10" s="59">
        <v>1.04</v>
      </c>
      <c r="G10" s="59">
        <f t="shared" si="0"/>
        <v>0</v>
      </c>
      <c r="H10" s="100">
        <v>8185255.3700000001</v>
      </c>
      <c r="I10" s="63">
        <v>-16034124.68</v>
      </c>
      <c r="J10" s="92">
        <f t="shared" si="1"/>
        <v>1</v>
      </c>
      <c r="K10" s="91">
        <f t="shared" si="2"/>
        <v>-1457647.6981818182</v>
      </c>
      <c r="L10" s="61">
        <f t="shared" si="4"/>
        <v>-5.6153866124234231</v>
      </c>
      <c r="M10" s="92">
        <f t="shared" si="3"/>
        <v>1</v>
      </c>
      <c r="N10" s="97">
        <f t="shared" si="5"/>
        <v>2</v>
      </c>
      <c r="O10" s="62">
        <f>'ก.ค.66'!N10</f>
        <v>1</v>
      </c>
      <c r="P10" s="63">
        <v>-13699440.369999999</v>
      </c>
      <c r="Q10" s="102">
        <v>529841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59">
        <v>4.3099999999999996</v>
      </c>
      <c r="E11" s="59">
        <v>4.1100000000000003</v>
      </c>
      <c r="F11" s="59">
        <v>3.66</v>
      </c>
      <c r="G11" s="59">
        <f t="shared" si="0"/>
        <v>0</v>
      </c>
      <c r="H11" s="100">
        <v>229195585.44999999</v>
      </c>
      <c r="I11" s="63">
        <v>-88837563.019999996</v>
      </c>
      <c r="J11" s="92">
        <f t="shared" si="1"/>
        <v>1</v>
      </c>
      <c r="K11" s="91">
        <f>SUM(I11/11)</f>
        <v>-8076142.0927272728</v>
      </c>
      <c r="L11" s="61">
        <f t="shared" si="4"/>
        <v>-28.379340385354933</v>
      </c>
      <c r="M11" s="59">
        <f t="shared" si="3"/>
        <v>0</v>
      </c>
      <c r="N11" s="62">
        <f>SUM(G11+J11+M11)</f>
        <v>1</v>
      </c>
      <c r="O11" s="62">
        <f>'ก.ค.66'!N11</f>
        <v>1</v>
      </c>
      <c r="P11" s="63">
        <v>-13698506.75</v>
      </c>
      <c r="Q11" s="102">
        <v>182316086.75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59">
        <v>4.12</v>
      </c>
      <c r="E12" s="59">
        <v>3.65</v>
      </c>
      <c r="F12" s="59">
        <v>2.66</v>
      </c>
      <c r="G12" s="59">
        <f t="shared" si="0"/>
        <v>0</v>
      </c>
      <c r="H12" s="100">
        <v>34614892.710000001</v>
      </c>
      <c r="I12" s="63">
        <v>-10927588.73</v>
      </c>
      <c r="J12" s="92">
        <f t="shared" si="1"/>
        <v>1</v>
      </c>
      <c r="K12" s="91">
        <f t="shared" si="2"/>
        <v>-993417.15727272735</v>
      </c>
      <c r="L12" s="61">
        <f t="shared" si="4"/>
        <v>-34.844267039870559</v>
      </c>
      <c r="M12" s="59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62">
        <f t="shared" si="5"/>
        <v>1</v>
      </c>
      <c r="O12" s="62">
        <f>'ก.ค.66'!N12</f>
        <v>1</v>
      </c>
      <c r="P12" s="63">
        <v>-8603821.0299999993</v>
      </c>
      <c r="Q12" s="102">
        <v>18445845.59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59">
        <v>9.33</v>
      </c>
      <c r="E13" s="65">
        <v>9.02</v>
      </c>
      <c r="F13" s="65">
        <v>8.4</v>
      </c>
      <c r="G13" s="59">
        <f t="shared" si="0"/>
        <v>0</v>
      </c>
      <c r="H13" s="100">
        <v>68581875.640000001</v>
      </c>
      <c r="I13" s="63">
        <v>-20212332.699999999</v>
      </c>
      <c r="J13" s="92">
        <f t="shared" si="1"/>
        <v>1</v>
      </c>
      <c r="K13" s="91">
        <f t="shared" si="2"/>
        <v>-1837484.7909090908</v>
      </c>
      <c r="L13" s="61">
        <f t="shared" si="4"/>
        <v>-37.323778667070926</v>
      </c>
      <c r="M13" s="59">
        <f t="shared" si="6"/>
        <v>0</v>
      </c>
      <c r="N13" s="62">
        <f t="shared" si="5"/>
        <v>1</v>
      </c>
      <c r="O13" s="62">
        <f>'ก.ค.66'!N13</f>
        <v>1</v>
      </c>
      <c r="P13" s="63">
        <v>-16206955.65</v>
      </c>
      <c r="Q13" s="102">
        <v>60771941.039999999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59">
        <v>6.1</v>
      </c>
      <c r="E14" s="59">
        <v>5.71</v>
      </c>
      <c r="F14" s="59">
        <v>4.82</v>
      </c>
      <c r="G14" s="59">
        <f t="shared" si="0"/>
        <v>0</v>
      </c>
      <c r="H14" s="100">
        <v>60862034.549999997</v>
      </c>
      <c r="I14" s="63">
        <v>-1234216.58</v>
      </c>
      <c r="J14" s="92">
        <f t="shared" si="1"/>
        <v>1</v>
      </c>
      <c r="K14" s="91">
        <f t="shared" si="2"/>
        <v>-112201.50727272728</v>
      </c>
      <c r="L14" s="61">
        <f t="shared" si="4"/>
        <v>-542.43508870217897</v>
      </c>
      <c r="M14" s="59">
        <f t="shared" si="6"/>
        <v>0</v>
      </c>
      <c r="N14" s="62">
        <f t="shared" si="5"/>
        <v>1</v>
      </c>
      <c r="O14" s="62">
        <f>'ก.ค.66'!N14</f>
        <v>1</v>
      </c>
      <c r="P14" s="63">
        <v>3422179.54</v>
      </c>
      <c r="Q14" s="102">
        <v>45626927.5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59">
        <v>6.18</v>
      </c>
      <c r="E15" s="59">
        <v>5.75</v>
      </c>
      <c r="F15" s="59">
        <v>5.0199999999999996</v>
      </c>
      <c r="G15" s="59">
        <f t="shared" si="0"/>
        <v>0</v>
      </c>
      <c r="H15" s="100">
        <v>57593530.039999999</v>
      </c>
      <c r="I15" s="63">
        <v>-19740900.59</v>
      </c>
      <c r="J15" s="92">
        <f t="shared" si="1"/>
        <v>1</v>
      </c>
      <c r="K15" s="91">
        <f t="shared" si="2"/>
        <v>-1794627.3263636364</v>
      </c>
      <c r="L15" s="61">
        <f t="shared" si="4"/>
        <v>-32.092194961000004</v>
      </c>
      <c r="M15" s="59">
        <f t="shared" si="6"/>
        <v>0</v>
      </c>
      <c r="N15" s="62">
        <f t="shared" si="5"/>
        <v>1</v>
      </c>
      <c r="O15" s="62">
        <f>'ก.ค.66'!N15</f>
        <v>1</v>
      </c>
      <c r="P15" s="63">
        <v>-14130236.43</v>
      </c>
      <c r="Q15" s="102">
        <v>44700092.600000001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59">
        <v>4.8899999999999997</v>
      </c>
      <c r="E16" s="65">
        <v>4.6900000000000004</v>
      </c>
      <c r="F16" s="59">
        <v>3.88</v>
      </c>
      <c r="G16" s="59">
        <f t="shared" si="0"/>
        <v>0</v>
      </c>
      <c r="H16" s="100">
        <v>121454732.22</v>
      </c>
      <c r="I16" s="63">
        <v>-42780302.899999999</v>
      </c>
      <c r="J16" s="92">
        <f t="shared" si="1"/>
        <v>1</v>
      </c>
      <c r="K16" s="91">
        <f t="shared" si="2"/>
        <v>-3889118.4454545453</v>
      </c>
      <c r="L16" s="61">
        <f t="shared" si="4"/>
        <v>-31.229373423160126</v>
      </c>
      <c r="M16" s="59">
        <f t="shared" si="6"/>
        <v>0</v>
      </c>
      <c r="N16" s="62">
        <f t="shared" si="5"/>
        <v>1</v>
      </c>
      <c r="O16" s="62">
        <f>'ก.ค.66'!N16</f>
        <v>1</v>
      </c>
      <c r="P16" s="63">
        <v>-26907376.300000001</v>
      </c>
      <c r="Q16" s="102">
        <v>89967165.450000003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59">
        <v>2.5</v>
      </c>
      <c r="E17" s="59">
        <v>2.34</v>
      </c>
      <c r="F17" s="59">
        <v>2.15</v>
      </c>
      <c r="G17" s="59">
        <f t="shared" si="0"/>
        <v>0</v>
      </c>
      <c r="H17" s="100">
        <v>14845583.189999999</v>
      </c>
      <c r="I17" s="63">
        <v>-9610510.0199999996</v>
      </c>
      <c r="J17" s="92">
        <f t="shared" si="1"/>
        <v>1</v>
      </c>
      <c r="K17" s="91">
        <f t="shared" si="2"/>
        <v>-873682.72909090901</v>
      </c>
      <c r="L17" s="61">
        <f t="shared" si="4"/>
        <v>-16.991961378757296</v>
      </c>
      <c r="M17" s="59">
        <f t="shared" si="6"/>
        <v>0</v>
      </c>
      <c r="N17" s="62">
        <f t="shared" si="5"/>
        <v>1</v>
      </c>
      <c r="O17" s="62">
        <f>'ก.ค.66'!N17</f>
        <v>1</v>
      </c>
      <c r="P17" s="63">
        <v>-8508663.4900000002</v>
      </c>
      <c r="Q17" s="102">
        <v>11390271.42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59">
        <v>12.91</v>
      </c>
      <c r="E18" s="59">
        <v>12.74</v>
      </c>
      <c r="F18" s="65">
        <v>11.96</v>
      </c>
      <c r="G18" s="59">
        <f t="shared" si="0"/>
        <v>0</v>
      </c>
      <c r="H18" s="100">
        <v>197253293.13</v>
      </c>
      <c r="I18" s="63">
        <v>-25896498.510000002</v>
      </c>
      <c r="J18" s="92">
        <f t="shared" si="1"/>
        <v>1</v>
      </c>
      <c r="K18" s="91">
        <f t="shared" si="2"/>
        <v>-2354227.1372727272</v>
      </c>
      <c r="L18" s="61">
        <f t="shared" si="4"/>
        <v>-83.786857269222381</v>
      </c>
      <c r="M18" s="59">
        <f t="shared" si="6"/>
        <v>0</v>
      </c>
      <c r="N18" s="62">
        <f t="shared" si="5"/>
        <v>1</v>
      </c>
      <c r="O18" s="62">
        <f>'ก.ค.66'!N18</f>
        <v>1</v>
      </c>
      <c r="P18" s="63">
        <v>-20559670.09</v>
      </c>
      <c r="Q18" s="102">
        <v>181428535.41999999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59">
        <v>1.47</v>
      </c>
      <c r="E19" s="59">
        <v>1.1200000000000001</v>
      </c>
      <c r="F19" s="96">
        <v>0.56000000000000005</v>
      </c>
      <c r="G19" s="92">
        <f t="shared" si="0"/>
        <v>2</v>
      </c>
      <c r="H19" s="100">
        <v>3490553.13</v>
      </c>
      <c r="I19" s="63">
        <v>-17309285.469999999</v>
      </c>
      <c r="J19" s="92">
        <f t="shared" si="1"/>
        <v>1</v>
      </c>
      <c r="K19" s="91">
        <f t="shared" si="2"/>
        <v>-1573571.4063636363</v>
      </c>
      <c r="L19" s="61">
        <f t="shared" si="4"/>
        <v>-2.218236246467082</v>
      </c>
      <c r="M19" s="92">
        <f t="shared" si="6"/>
        <v>2</v>
      </c>
      <c r="N19" s="62">
        <f t="shared" si="5"/>
        <v>5</v>
      </c>
      <c r="O19" s="98">
        <f>'ก.ค.66'!N19</f>
        <v>5</v>
      </c>
      <c r="P19" s="63">
        <v>-13886713.83</v>
      </c>
      <c r="Q19" s="101">
        <v>-3313794.99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59">
        <v>1.43</v>
      </c>
      <c r="E20" s="59">
        <v>1.1499999999999999</v>
      </c>
      <c r="F20" s="96">
        <v>0.59</v>
      </c>
      <c r="G20" s="92">
        <f t="shared" si="0"/>
        <v>2</v>
      </c>
      <c r="H20" s="100">
        <v>2681514.31</v>
      </c>
      <c r="I20" s="66">
        <v>-12217299.199999999</v>
      </c>
      <c r="J20" s="67">
        <f t="shared" si="1"/>
        <v>1</v>
      </c>
      <c r="K20" s="68">
        <f t="shared" si="2"/>
        <v>-1110663.5636363635</v>
      </c>
      <c r="L20" s="61">
        <f t="shared" si="4"/>
        <v>-2.4143353557224829</v>
      </c>
      <c r="M20" s="92">
        <f t="shared" si="6"/>
        <v>2</v>
      </c>
      <c r="N20" s="62">
        <f t="shared" si="5"/>
        <v>5</v>
      </c>
      <c r="O20" s="97">
        <f>'ก.ค.66'!N20</f>
        <v>3</v>
      </c>
      <c r="P20" s="63">
        <v>-8206807.5999999996</v>
      </c>
      <c r="Q20" s="101">
        <v>-2596952.89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8" t="s">
        <v>5</v>
      </c>
      <c r="M23" s="128"/>
      <c r="N23" s="12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8"/>
      <c r="M24" s="128"/>
      <c r="N24" s="12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8" t="s">
        <v>5</v>
      </c>
      <c r="M25" s="128"/>
      <c r="N25" s="12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8"/>
      <c r="M26" s="128"/>
      <c r="N26" s="12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9" t="s">
        <v>5</v>
      </c>
      <c r="L27" s="12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8" t="s">
        <v>5</v>
      </c>
      <c r="M30" s="128"/>
      <c r="N30" s="12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8"/>
      <c r="M31" s="128"/>
      <c r="N31" s="12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9 N11:N18">
    <cfRule type="cellIs" dxfId="2" priority="1" operator="greaterThan">
      <formula>0</formula>
    </cfRule>
  </conditionalFormatting>
  <conditionalFormatting sqref="N5:N9 N11:N20">
    <cfRule type="colorScale" priority="8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FFF00"/>
        <color rgb="FFFF0000"/>
      </colorScale>
    </cfRule>
    <cfRule type="colorScale" priority="11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CFCFF"/>
        <color rgb="FFF8696B"/>
      </colorScale>
    </cfRule>
  </conditionalFormatting>
  <conditionalFormatting sqref="N11:N20 N9">
    <cfRule type="colorScale" priority="9">
      <colorScale>
        <cfvo type="min"/>
        <cfvo type="max"/>
        <color rgb="FFFF7128"/>
        <color theme="6" tint="0.79998168889431442"/>
      </colorScale>
    </cfRule>
  </conditionalFormatting>
  <conditionalFormatting sqref="O5:O18">
    <cfRule type="cellIs" dxfId="1" priority="2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 codeName="Sheet12">
    <tabColor rgb="FF92D050"/>
    <pageSetUpPr fitToPage="1"/>
  </sheetPr>
  <dimension ref="A1:AJ44"/>
  <sheetViews>
    <sheetView tabSelected="1"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J6" sqref="J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46" t="s">
        <v>93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14"/>
      <c r="O1" s="11" t="s">
        <v>53</v>
      </c>
      <c r="P1" s="53">
        <v>243553</v>
      </c>
      <c r="Q1" s="38"/>
    </row>
    <row r="2" spans="1:25" ht="54.75" customHeight="1" thickBot="1" x14ac:dyDescent="0.3">
      <c r="C2" s="115" t="s">
        <v>41</v>
      </c>
      <c r="D2" s="116" t="s">
        <v>40</v>
      </c>
      <c r="E2" s="116"/>
      <c r="F2" s="116"/>
      <c r="G2" s="116"/>
      <c r="H2" s="117" t="s">
        <v>39</v>
      </c>
      <c r="I2" s="117"/>
      <c r="J2" s="117"/>
      <c r="K2" s="118" t="s">
        <v>38</v>
      </c>
      <c r="L2" s="118"/>
      <c r="M2" s="148"/>
      <c r="N2" s="149" t="s">
        <v>59</v>
      </c>
      <c r="O2" s="147" t="s">
        <v>60</v>
      </c>
      <c r="P2" s="131" t="s">
        <v>56</v>
      </c>
      <c r="Q2" s="130" t="s">
        <v>92</v>
      </c>
    </row>
    <row r="3" spans="1:25" ht="38.25" customHeight="1" thickBot="1" x14ac:dyDescent="0.3">
      <c r="C3" s="115"/>
      <c r="D3" s="122" t="s">
        <v>36</v>
      </c>
      <c r="E3" s="122" t="s">
        <v>35</v>
      </c>
      <c r="F3" s="122" t="s">
        <v>34</v>
      </c>
      <c r="G3" s="123" t="s">
        <v>29</v>
      </c>
      <c r="H3" s="124" t="s">
        <v>33</v>
      </c>
      <c r="I3" s="115" t="s">
        <v>32</v>
      </c>
      <c r="J3" s="125" t="s">
        <v>29</v>
      </c>
      <c r="K3" s="126" t="s">
        <v>31</v>
      </c>
      <c r="L3" s="115" t="s">
        <v>30</v>
      </c>
      <c r="M3" s="151" t="s">
        <v>29</v>
      </c>
      <c r="N3" s="150"/>
      <c r="O3" s="147"/>
      <c r="P3" s="132"/>
      <c r="Q3" s="130"/>
    </row>
    <row r="4" spans="1:25" ht="36.75" customHeight="1" thickBot="1" x14ac:dyDescent="0.3">
      <c r="C4" s="115"/>
      <c r="D4" s="122"/>
      <c r="E4" s="122"/>
      <c r="F4" s="122"/>
      <c r="G4" s="123"/>
      <c r="H4" s="124"/>
      <c r="I4" s="115"/>
      <c r="J4" s="125"/>
      <c r="K4" s="126"/>
      <c r="L4" s="115"/>
      <c r="M4" s="151"/>
      <c r="N4" s="150"/>
      <c r="O4" s="147"/>
      <c r="P4" s="133"/>
      <c r="Q4" s="13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65">
        <v>2.0099999999999998</v>
      </c>
      <c r="E5" s="59">
        <v>1.83</v>
      </c>
      <c r="F5" s="59">
        <v>0.89</v>
      </c>
      <c r="G5" s="59">
        <f t="shared" ref="G5:G20" si="0">(IF(D5&lt;1.5,1,0))+(IF(E5&lt;1,1,0))+(IF(F5&lt;0.8,1,0))</f>
        <v>0</v>
      </c>
      <c r="H5" s="64">
        <v>291762521.95999998</v>
      </c>
      <c r="I5" s="63">
        <v>-176268246.96000001</v>
      </c>
      <c r="J5" s="92">
        <f t="shared" ref="J5:J20" si="1">IF(I5&lt;0,1,0)+IF(H5&lt;0,1,0)</f>
        <v>1</v>
      </c>
      <c r="K5" s="91">
        <f>SUM(I5/12)</f>
        <v>-14689020.58</v>
      </c>
      <c r="L5" s="76">
        <f>+H5/K5</f>
        <v>-19.862625991364769</v>
      </c>
      <c r="M5" s="107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108">
        <f>SUM(G5+J5+M5)</f>
        <v>1</v>
      </c>
      <c r="O5" s="109">
        <f>'ส.ค.66'!N5</f>
        <v>1</v>
      </c>
      <c r="P5" s="63">
        <v>-84859703.659999996</v>
      </c>
      <c r="Q5" s="63">
        <v>-32337948.539999999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65">
        <v>2.2599999999999998</v>
      </c>
      <c r="E6" s="59">
        <v>2.14</v>
      </c>
      <c r="F6" s="65">
        <v>1.41</v>
      </c>
      <c r="G6" s="59">
        <f t="shared" si="0"/>
        <v>0</v>
      </c>
      <c r="H6" s="64">
        <v>145791582.96000001</v>
      </c>
      <c r="I6" s="154">
        <v>6725310.04</v>
      </c>
      <c r="J6" s="156">
        <f>IF(I6&lt;0,1,0)+IF(H6&lt;0,1,0)</f>
        <v>0</v>
      </c>
      <c r="K6" s="155">
        <f t="shared" ref="K6:K20" si="3">SUM(I6/12)</f>
        <v>560442.5033333333</v>
      </c>
      <c r="L6" s="76">
        <f>+H6/K6</f>
        <v>260.13655654751051</v>
      </c>
      <c r="M6" s="107">
        <f t="shared" si="2"/>
        <v>0</v>
      </c>
      <c r="N6" s="108">
        <f>SUM(G6+J6+M6)</f>
        <v>0</v>
      </c>
      <c r="O6" s="109">
        <f>'ส.ค.66'!N6</f>
        <v>1</v>
      </c>
      <c r="P6" s="110">
        <v>47569530.390000001</v>
      </c>
      <c r="Q6" s="64">
        <v>46629083.75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59">
        <v>5.19</v>
      </c>
      <c r="E7" s="59">
        <v>5.03</v>
      </c>
      <c r="F7" s="59">
        <v>4.34</v>
      </c>
      <c r="G7" s="59">
        <f t="shared" si="0"/>
        <v>0</v>
      </c>
      <c r="H7" s="64">
        <v>62920331.32</v>
      </c>
      <c r="I7" s="64">
        <v>2691901.1</v>
      </c>
      <c r="J7" s="59">
        <f t="shared" si="1"/>
        <v>0</v>
      </c>
      <c r="K7" s="60">
        <f t="shared" si="3"/>
        <v>224325.09166666667</v>
      </c>
      <c r="L7" s="76">
        <f t="shared" ref="L7:L20" si="4">+H7/K7</f>
        <v>280.48726449868457</v>
      </c>
      <c r="M7" s="107">
        <f t="shared" si="2"/>
        <v>0</v>
      </c>
      <c r="N7" s="108">
        <f t="shared" ref="N7:N20" si="5">SUM(G7+J7+M7)</f>
        <v>0</v>
      </c>
      <c r="O7" s="109">
        <f>'ส.ค.66'!N7</f>
        <v>1</v>
      </c>
      <c r="P7" s="110">
        <v>13593240.720000001</v>
      </c>
      <c r="Q7" s="64">
        <v>50140057.670000002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59">
        <v>18.95</v>
      </c>
      <c r="E8" s="59">
        <v>18.61</v>
      </c>
      <c r="F8" s="59">
        <v>17.77</v>
      </c>
      <c r="G8" s="59">
        <f t="shared" si="0"/>
        <v>0</v>
      </c>
      <c r="H8" s="64">
        <v>145604410.78</v>
      </c>
      <c r="I8" s="63">
        <v>-14733671.98</v>
      </c>
      <c r="J8" s="92">
        <f t="shared" si="1"/>
        <v>1</v>
      </c>
      <c r="K8" s="91">
        <f t="shared" si="3"/>
        <v>-1227805.9983333333</v>
      </c>
      <c r="L8" s="76">
        <f t="shared" si="4"/>
        <v>-118.58910200605675</v>
      </c>
      <c r="M8" s="107">
        <f t="shared" si="2"/>
        <v>0</v>
      </c>
      <c r="N8" s="108">
        <f t="shared" si="5"/>
        <v>1</v>
      </c>
      <c r="O8" s="109">
        <f>'ส.ค.66'!N8</f>
        <v>1</v>
      </c>
      <c r="P8" s="63">
        <v>-6959567.96</v>
      </c>
      <c r="Q8" s="64">
        <v>136008708.15000001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59">
        <v>4.05</v>
      </c>
      <c r="E9" s="59">
        <v>3.72</v>
      </c>
      <c r="F9" s="59">
        <v>3.23</v>
      </c>
      <c r="G9" s="59">
        <f t="shared" si="0"/>
        <v>0</v>
      </c>
      <c r="H9" s="64">
        <v>30210720.620000001</v>
      </c>
      <c r="I9" s="63">
        <v>-25581376.25</v>
      </c>
      <c r="J9" s="92">
        <f t="shared" si="1"/>
        <v>1</v>
      </c>
      <c r="K9" s="91">
        <f t="shared" si="3"/>
        <v>-2131781.3541666665</v>
      </c>
      <c r="L9" s="76">
        <f t="shared" si="4"/>
        <v>-14.171584980303788</v>
      </c>
      <c r="M9" s="107">
        <f t="shared" si="2"/>
        <v>0</v>
      </c>
      <c r="N9" s="108">
        <f t="shared" si="5"/>
        <v>1</v>
      </c>
      <c r="O9" s="109">
        <f>'ส.ค.66'!N9</f>
        <v>1</v>
      </c>
      <c r="P9" s="63">
        <v>-18885376.190000001</v>
      </c>
      <c r="Q9" s="64">
        <v>22086840.710000001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65">
        <v>1.7</v>
      </c>
      <c r="E10" s="59">
        <v>1.54</v>
      </c>
      <c r="F10" s="59">
        <v>0.96</v>
      </c>
      <c r="G10" s="59">
        <f t="shared" si="0"/>
        <v>0</v>
      </c>
      <c r="H10" s="64">
        <v>8587132.7599999998</v>
      </c>
      <c r="I10" s="63">
        <v>-13510332.57</v>
      </c>
      <c r="J10" s="92">
        <f t="shared" si="1"/>
        <v>1</v>
      </c>
      <c r="K10" s="91">
        <f t="shared" si="3"/>
        <v>-1125861.0475000001</v>
      </c>
      <c r="L10" s="76">
        <f t="shared" si="4"/>
        <v>-7.6271692488766014</v>
      </c>
      <c r="M10" s="107">
        <f t="shared" si="2"/>
        <v>0</v>
      </c>
      <c r="N10" s="108">
        <f t="shared" si="5"/>
        <v>1</v>
      </c>
      <c r="O10" s="109">
        <f>'ส.ค.66'!N10</f>
        <v>2</v>
      </c>
      <c r="P10" s="63">
        <v>-10935613.050000001</v>
      </c>
      <c r="Q10" s="63">
        <v>-568298.49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59">
        <v>5.0599999999999996</v>
      </c>
      <c r="E11" s="59">
        <v>4.87</v>
      </c>
      <c r="F11" s="59">
        <v>4.18</v>
      </c>
      <c r="G11" s="59">
        <f t="shared" si="0"/>
        <v>0</v>
      </c>
      <c r="H11" s="64">
        <v>234128634.71000001</v>
      </c>
      <c r="I11" s="63">
        <v>-88598073.189999998</v>
      </c>
      <c r="J11" s="92">
        <f t="shared" si="1"/>
        <v>1</v>
      </c>
      <c r="K11" s="91">
        <f t="shared" si="3"/>
        <v>-7383172.7658333331</v>
      </c>
      <c r="L11" s="76">
        <f t="shared" si="4"/>
        <v>-31.711114196523084</v>
      </c>
      <c r="M11" s="107">
        <f t="shared" si="2"/>
        <v>0</v>
      </c>
      <c r="N11" s="108">
        <f t="shared" si="5"/>
        <v>1</v>
      </c>
      <c r="O11" s="109">
        <f>'ส.ค.66'!N11</f>
        <v>1</v>
      </c>
      <c r="P11" s="63">
        <v>-6995299.4000000004</v>
      </c>
      <c r="Q11" s="64">
        <v>181398787.43000001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65">
        <v>3.63</v>
      </c>
      <c r="E12" s="65">
        <v>3.14</v>
      </c>
      <c r="F12" s="65">
        <v>2.15</v>
      </c>
      <c r="G12" s="59">
        <f t="shared" si="0"/>
        <v>0</v>
      </c>
      <c r="H12" s="64">
        <v>26985916.07</v>
      </c>
      <c r="I12" s="63">
        <v>-19004640.440000001</v>
      </c>
      <c r="J12" s="92">
        <f t="shared" si="1"/>
        <v>1</v>
      </c>
      <c r="K12" s="91">
        <f t="shared" si="3"/>
        <v>-1583720.0366666669</v>
      </c>
      <c r="L12" s="76">
        <f t="shared" si="4"/>
        <v>-17.039574827125747</v>
      </c>
      <c r="M12" s="107">
        <f t="shared" si="2"/>
        <v>0</v>
      </c>
      <c r="N12" s="108">
        <f t="shared" si="5"/>
        <v>1</v>
      </c>
      <c r="O12" s="109">
        <f>'ส.ค.66'!N12</f>
        <v>1</v>
      </c>
      <c r="P12" s="63">
        <v>-14214892.550000001</v>
      </c>
      <c r="Q12" s="64">
        <v>11824963.92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65">
        <v>8.34</v>
      </c>
      <c r="E13" s="59">
        <v>8.0500000000000007</v>
      </c>
      <c r="F13" s="59">
        <v>7.33</v>
      </c>
      <c r="G13" s="59">
        <f t="shared" si="0"/>
        <v>0</v>
      </c>
      <c r="H13" s="64">
        <v>65696563.030000001</v>
      </c>
      <c r="I13" s="63">
        <v>-22232153.140000001</v>
      </c>
      <c r="J13" s="92">
        <f t="shared" si="1"/>
        <v>1</v>
      </c>
      <c r="K13" s="91">
        <f t="shared" si="3"/>
        <v>-1852679.4283333335</v>
      </c>
      <c r="L13" s="76">
        <f t="shared" si="4"/>
        <v>-35.460297137913649</v>
      </c>
      <c r="M13" s="107">
        <f t="shared" si="2"/>
        <v>0</v>
      </c>
      <c r="N13" s="108">
        <f t="shared" si="5"/>
        <v>1</v>
      </c>
      <c r="O13" s="109">
        <f>'ส.ค.66'!N13</f>
        <v>1</v>
      </c>
      <c r="P13" s="63">
        <v>-17013606.09</v>
      </c>
      <c r="Q13" s="64">
        <v>56553906.130000003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65">
        <v>6.28</v>
      </c>
      <c r="E14" s="59">
        <v>6.03</v>
      </c>
      <c r="F14" s="59">
        <v>4.95</v>
      </c>
      <c r="G14" s="59">
        <f t="shared" si="0"/>
        <v>0</v>
      </c>
      <c r="H14" s="64">
        <v>57098534.68</v>
      </c>
      <c r="I14" s="64">
        <v>2653322.19</v>
      </c>
      <c r="J14" s="59">
        <f t="shared" si="1"/>
        <v>0</v>
      </c>
      <c r="K14" s="60">
        <f t="shared" si="3"/>
        <v>221110.1825</v>
      </c>
      <c r="L14" s="76">
        <f t="shared" si="4"/>
        <v>258.23566347967716</v>
      </c>
      <c r="M14" s="107">
        <f t="shared" si="2"/>
        <v>0</v>
      </c>
      <c r="N14" s="108">
        <f t="shared" si="5"/>
        <v>0</v>
      </c>
      <c r="O14" s="109">
        <f>'ส.ค.66'!N14</f>
        <v>1</v>
      </c>
      <c r="P14" s="110">
        <v>4505204.5199999996</v>
      </c>
      <c r="Q14" s="64">
        <v>42733323.240000002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59">
        <v>5.56</v>
      </c>
      <c r="E15" s="65">
        <v>5.22</v>
      </c>
      <c r="F15" s="59">
        <v>4.55</v>
      </c>
      <c r="G15" s="59">
        <f t="shared" si="0"/>
        <v>0</v>
      </c>
      <c r="H15" s="64">
        <v>53572898.039999999</v>
      </c>
      <c r="I15" s="63">
        <v>-24161712.98</v>
      </c>
      <c r="J15" s="92">
        <f t="shared" si="1"/>
        <v>1</v>
      </c>
      <c r="K15" s="91">
        <f t="shared" si="3"/>
        <v>-2013476.0816666668</v>
      </c>
      <c r="L15" s="76">
        <f t="shared" si="4"/>
        <v>-26.607168829964305</v>
      </c>
      <c r="M15" s="107">
        <f t="shared" si="2"/>
        <v>0</v>
      </c>
      <c r="N15" s="108">
        <f t="shared" si="5"/>
        <v>1</v>
      </c>
      <c r="O15" s="109">
        <f>'ส.ค.66'!N15</f>
        <v>1</v>
      </c>
      <c r="P15" s="63">
        <v>-17236325.199999999</v>
      </c>
      <c r="Q15" s="64">
        <v>41624836.969999999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65">
        <v>7.4</v>
      </c>
      <c r="E16" s="65">
        <v>7.07</v>
      </c>
      <c r="F16" s="65">
        <v>6.18</v>
      </c>
      <c r="G16" s="59">
        <f t="shared" si="0"/>
        <v>0</v>
      </c>
      <c r="H16" s="64">
        <v>118807531.67</v>
      </c>
      <c r="I16" s="63">
        <v>-46758802.590000004</v>
      </c>
      <c r="J16" s="92">
        <f t="shared" si="1"/>
        <v>1</v>
      </c>
      <c r="K16" s="91">
        <f t="shared" si="3"/>
        <v>-3896566.8825000003</v>
      </c>
      <c r="L16" s="76">
        <f t="shared" si="4"/>
        <v>-30.490309868304948</v>
      </c>
      <c r="M16" s="107">
        <f t="shared" si="2"/>
        <v>0</v>
      </c>
      <c r="N16" s="108">
        <f t="shared" si="5"/>
        <v>1</v>
      </c>
      <c r="O16" s="109">
        <f>'ส.ค.66'!N16</f>
        <v>1</v>
      </c>
      <c r="P16" s="63">
        <v>-28792465.09</v>
      </c>
      <c r="Q16" s="64">
        <v>96275163.969999999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59">
        <v>3.28</v>
      </c>
      <c r="E17" s="59">
        <v>3.09</v>
      </c>
      <c r="F17" s="65">
        <v>2.7</v>
      </c>
      <c r="G17" s="59">
        <f t="shared" si="0"/>
        <v>0</v>
      </c>
      <c r="H17" s="64">
        <v>14013718.369999999</v>
      </c>
      <c r="I17" s="63">
        <v>-10863633.220000001</v>
      </c>
      <c r="J17" s="92">
        <f t="shared" si="1"/>
        <v>1</v>
      </c>
      <c r="K17" s="91">
        <f t="shared" si="3"/>
        <v>-905302.76833333343</v>
      </c>
      <c r="L17" s="76">
        <f t="shared" si="4"/>
        <v>-15.479592971751671</v>
      </c>
      <c r="M17" s="107">
        <f t="shared" si="2"/>
        <v>0</v>
      </c>
      <c r="N17" s="108">
        <f t="shared" si="5"/>
        <v>1</v>
      </c>
      <c r="O17" s="109">
        <f>'ส.ค.66'!N17</f>
        <v>1</v>
      </c>
      <c r="P17" s="63">
        <v>-9487309.0999999996</v>
      </c>
      <c r="Q17" s="64">
        <v>10447482.039999999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65">
        <v>14.43</v>
      </c>
      <c r="E18" s="59">
        <v>14.31</v>
      </c>
      <c r="F18" s="59">
        <v>11.41</v>
      </c>
      <c r="G18" s="59">
        <f t="shared" si="0"/>
        <v>0</v>
      </c>
      <c r="H18" s="64">
        <v>190398867.65000001</v>
      </c>
      <c r="I18" s="63">
        <v>-28214094.309999999</v>
      </c>
      <c r="J18" s="92">
        <f t="shared" si="1"/>
        <v>1</v>
      </c>
      <c r="K18" s="91">
        <f t="shared" si="3"/>
        <v>-2351174.5258333334</v>
      </c>
      <c r="L18" s="76">
        <f t="shared" si="4"/>
        <v>-80.980320923865236</v>
      </c>
      <c r="M18" s="107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108">
        <f t="shared" si="5"/>
        <v>1</v>
      </c>
      <c r="O18" s="109">
        <f>'ส.ค.66'!N18</f>
        <v>1</v>
      </c>
      <c r="P18" s="63">
        <v>-22921724.84</v>
      </c>
      <c r="Q18" s="64">
        <v>147578922.80000001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92">
        <v>1.37</v>
      </c>
      <c r="E19" s="59">
        <v>1.04</v>
      </c>
      <c r="F19" s="92">
        <v>0.46</v>
      </c>
      <c r="G19" s="92">
        <f t="shared" si="0"/>
        <v>2</v>
      </c>
      <c r="H19" s="64">
        <v>2751123.51</v>
      </c>
      <c r="I19" s="63">
        <v>-16237132.52</v>
      </c>
      <c r="J19" s="92">
        <f t="shared" si="1"/>
        <v>1</v>
      </c>
      <c r="K19" s="91">
        <f t="shared" si="3"/>
        <v>-1353094.3766666667</v>
      </c>
      <c r="L19" s="76">
        <f t="shared" si="4"/>
        <v>-2.0332088858261037</v>
      </c>
      <c r="M19" s="111">
        <f>IF(AND(I19&lt;0,H19&lt;0),2,IF(AND(I19&gt;0,H19&gt;0),0,IF(AND(H19&lt;0,I19&gt;0),IF(ABS((H19/(I19/12)))&lt;3,0,IF(ABS((H19/(I19/12)))&gt;6,2,1)),IF(AND(H19&gt;0,I19&lt;0),IF(ABS((H19/(I19/12)))&lt;3,2,IF(ABS((H19/(I19/12)))&gt;6,0,1))))))</f>
        <v>2</v>
      </c>
      <c r="N19" s="112">
        <f t="shared" si="5"/>
        <v>5</v>
      </c>
      <c r="O19" s="109">
        <f>'ส.ค.66'!N19</f>
        <v>5</v>
      </c>
      <c r="P19" s="63">
        <v>-12355753.65</v>
      </c>
      <c r="Q19" s="63">
        <v>-4088416.53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92">
        <v>1.44</v>
      </c>
      <c r="E20" s="59">
        <v>1.26</v>
      </c>
      <c r="F20" s="96">
        <v>0.72</v>
      </c>
      <c r="G20" s="92">
        <f t="shared" si="0"/>
        <v>2</v>
      </c>
      <c r="H20" s="64">
        <v>2715725.47</v>
      </c>
      <c r="I20" s="63">
        <v>-12095319.439999999</v>
      </c>
      <c r="J20" s="92">
        <f t="shared" si="1"/>
        <v>1</v>
      </c>
      <c r="K20" s="91">
        <f t="shared" si="3"/>
        <v>-1007943.2866666666</v>
      </c>
      <c r="L20" s="76">
        <f t="shared" si="4"/>
        <v>-2.6943236846004295</v>
      </c>
      <c r="M20" s="111">
        <f>IF(AND(I20&lt;0,H20&lt;0),2,IF(AND(I20&gt;0,H20&gt;0),0,IF(AND(H20&lt;0,I20&gt;0),IF(ABS((H20/(I20/12)))&lt;3,0,IF(ABS((H20/(I20/12)))&gt;6,2,1)),IF(AND(H20&gt;0,I20&lt;0),IF(ABS((H20/(I20/12)))&lt;3,2,IF(ABS((H20/(I20/12)))&gt;6,0,1))))))</f>
        <v>2</v>
      </c>
      <c r="N20" s="113">
        <f t="shared" si="5"/>
        <v>5</v>
      </c>
      <c r="O20" s="109">
        <f>'ส.ค.66'!N20</f>
        <v>5</v>
      </c>
      <c r="P20" s="63">
        <v>-8208278.9199999999</v>
      </c>
      <c r="Q20" s="63">
        <v>-1751912.54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8" t="s">
        <v>5</v>
      </c>
      <c r="M23" s="128"/>
      <c r="N23" s="12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8"/>
      <c r="M24" s="128"/>
      <c r="N24" s="12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8" t="s">
        <v>5</v>
      </c>
      <c r="M25" s="128"/>
      <c r="N25" s="12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8"/>
      <c r="M26" s="128"/>
      <c r="N26" s="12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9" t="s">
        <v>5</v>
      </c>
      <c r="L27" s="12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8" t="s">
        <v>5</v>
      </c>
      <c r="M30" s="128"/>
      <c r="N30" s="12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8"/>
      <c r="M31" s="128"/>
      <c r="N31" s="12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18">
    <cfRule type="cellIs" dxfId="0" priority="1" operator="greaterThan">
      <formula>0</formula>
    </cfRule>
  </conditionalFormatting>
  <conditionalFormatting sqref="O5:O20">
    <cfRule type="colorScale" priority="2">
      <colorScale>
        <cfvo type="min"/>
        <cfvo type="max"/>
        <color rgb="FFFCFCFF"/>
        <color rgb="FFF8696B"/>
      </colorScale>
    </cfRule>
    <cfRule type="colorScale" priority="4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3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AF08-CEDB-447F-9B11-94C50362F248}">
  <dimension ref="A1:J18"/>
  <sheetViews>
    <sheetView workbookViewId="0">
      <selection activeCell="I3" sqref="I3:J18"/>
    </sheetView>
  </sheetViews>
  <sheetFormatPr defaultRowHeight="14.25" x14ac:dyDescent="0.2"/>
  <cols>
    <col min="1" max="1" width="15" customWidth="1"/>
    <col min="8" max="8" width="16.375" customWidth="1"/>
    <col min="9" max="9" width="15.625" customWidth="1"/>
    <col min="10" max="10" width="11.625" customWidth="1"/>
  </cols>
  <sheetData>
    <row r="1" spans="1:10" ht="30" customHeight="1" thickBot="1" x14ac:dyDescent="0.25">
      <c r="A1" s="115"/>
      <c r="B1" s="122" t="s">
        <v>94</v>
      </c>
      <c r="C1" s="122" t="s">
        <v>95</v>
      </c>
      <c r="D1" s="122" t="s">
        <v>96</v>
      </c>
      <c r="E1" s="137" t="s">
        <v>97</v>
      </c>
      <c r="F1" s="137" t="s">
        <v>98</v>
      </c>
      <c r="G1" s="137" t="s">
        <v>99</v>
      </c>
      <c r="H1" s="78"/>
      <c r="I1" s="140" t="s">
        <v>100</v>
      </c>
      <c r="J1" s="131" t="s">
        <v>56</v>
      </c>
    </row>
    <row r="2" spans="1:10" ht="30" customHeight="1" thickBot="1" x14ac:dyDescent="0.25">
      <c r="A2" s="115"/>
      <c r="B2" s="122"/>
      <c r="C2" s="122"/>
      <c r="D2" s="122"/>
      <c r="E2" s="152"/>
      <c r="F2" s="152"/>
      <c r="G2" s="152"/>
      <c r="H2" s="80"/>
      <c r="I2" s="153"/>
      <c r="J2" s="132"/>
    </row>
    <row r="3" spans="1:10" ht="26.25" customHeight="1" thickBot="1" x14ac:dyDescent="0.25">
      <c r="A3" s="50" t="s">
        <v>101</v>
      </c>
      <c r="B3" s="59"/>
      <c r="C3" s="59"/>
      <c r="D3" s="59"/>
      <c r="E3" s="65">
        <v>1.5</v>
      </c>
      <c r="F3" s="65">
        <v>1</v>
      </c>
      <c r="G3" s="65">
        <v>0.8</v>
      </c>
      <c r="H3" s="50" t="s">
        <v>101</v>
      </c>
      <c r="I3" s="82"/>
      <c r="J3" s="84"/>
    </row>
    <row r="4" spans="1:10" ht="26.25" customHeight="1" thickBot="1" x14ac:dyDescent="0.25">
      <c r="A4" s="50" t="s">
        <v>102</v>
      </c>
      <c r="B4" s="59"/>
      <c r="C4" s="59"/>
      <c r="D4" s="59"/>
      <c r="E4" s="65">
        <v>1.5</v>
      </c>
      <c r="F4" s="65">
        <v>1</v>
      </c>
      <c r="G4" s="65">
        <v>0.8</v>
      </c>
      <c r="H4" s="50" t="s">
        <v>102</v>
      </c>
      <c r="I4" s="82"/>
      <c r="J4" s="81"/>
    </row>
    <row r="5" spans="1:10" ht="26.25" customHeight="1" thickBot="1" x14ac:dyDescent="0.25">
      <c r="A5" s="50" t="s">
        <v>103</v>
      </c>
      <c r="B5" s="59"/>
      <c r="C5" s="59"/>
      <c r="D5" s="59"/>
      <c r="E5" s="65">
        <v>1.5</v>
      </c>
      <c r="F5" s="65">
        <v>1</v>
      </c>
      <c r="G5" s="65">
        <v>0.8</v>
      </c>
      <c r="H5" s="50" t="s">
        <v>103</v>
      </c>
      <c r="I5" s="82"/>
      <c r="J5" s="84"/>
    </row>
    <row r="6" spans="1:10" ht="26.25" customHeight="1" thickBot="1" x14ac:dyDescent="0.25">
      <c r="A6" s="50" t="s">
        <v>104</v>
      </c>
      <c r="B6" s="59"/>
      <c r="C6" s="59"/>
      <c r="D6" s="59"/>
      <c r="E6" s="65">
        <v>1.5</v>
      </c>
      <c r="F6" s="65">
        <v>1</v>
      </c>
      <c r="G6" s="65">
        <v>0.8</v>
      </c>
      <c r="H6" s="50" t="s">
        <v>104</v>
      </c>
      <c r="I6" s="82"/>
      <c r="J6" s="84"/>
    </row>
    <row r="7" spans="1:10" ht="26.25" customHeight="1" thickBot="1" x14ac:dyDescent="0.25">
      <c r="A7" s="50" t="s">
        <v>105</v>
      </c>
      <c r="B7" s="59"/>
      <c r="C7" s="65"/>
      <c r="D7" s="59"/>
      <c r="E7" s="65">
        <v>1.5</v>
      </c>
      <c r="F7" s="65">
        <v>1</v>
      </c>
      <c r="G7" s="65">
        <v>0.8</v>
      </c>
      <c r="H7" s="50" t="s">
        <v>105</v>
      </c>
      <c r="I7" s="82"/>
      <c r="J7" s="84"/>
    </row>
    <row r="8" spans="1:10" ht="26.25" customHeight="1" thickBot="1" x14ac:dyDescent="0.25">
      <c r="A8" s="50" t="s">
        <v>106</v>
      </c>
      <c r="B8" s="59"/>
      <c r="C8" s="59"/>
      <c r="D8" s="59"/>
      <c r="E8" s="65">
        <v>1.5</v>
      </c>
      <c r="F8" s="65">
        <v>1</v>
      </c>
      <c r="G8" s="65">
        <v>0.8</v>
      </c>
      <c r="H8" s="50" t="s">
        <v>106</v>
      </c>
      <c r="I8" s="82"/>
      <c r="J8" s="84"/>
    </row>
    <row r="9" spans="1:10" ht="26.25" customHeight="1" thickBot="1" x14ac:dyDescent="0.25">
      <c r="A9" s="50" t="s">
        <v>107</v>
      </c>
      <c r="B9" s="65"/>
      <c r="C9" s="59"/>
      <c r="D9" s="59"/>
      <c r="E9" s="65">
        <v>1.5</v>
      </c>
      <c r="F9" s="65">
        <v>1</v>
      </c>
      <c r="G9" s="65">
        <v>0.8</v>
      </c>
      <c r="H9" s="50" t="s">
        <v>107</v>
      </c>
      <c r="I9" s="82"/>
      <c r="J9" s="84"/>
    </row>
    <row r="10" spans="1:10" ht="26.25" customHeight="1" thickBot="1" x14ac:dyDescent="0.25">
      <c r="A10" s="50" t="s">
        <v>108</v>
      </c>
      <c r="B10" s="59"/>
      <c r="C10" s="59"/>
      <c r="D10" s="59"/>
      <c r="E10" s="65">
        <v>1.5</v>
      </c>
      <c r="F10" s="65">
        <v>1</v>
      </c>
      <c r="G10" s="65">
        <v>0.8</v>
      </c>
      <c r="H10" s="50" t="s">
        <v>108</v>
      </c>
      <c r="I10" s="82"/>
      <c r="J10" s="84"/>
    </row>
    <row r="11" spans="1:10" ht="26.25" customHeight="1" thickBot="1" x14ac:dyDescent="0.25">
      <c r="A11" s="50" t="s">
        <v>109</v>
      </c>
      <c r="B11" s="65"/>
      <c r="C11" s="65"/>
      <c r="D11" s="59"/>
      <c r="E11" s="65">
        <v>1.5</v>
      </c>
      <c r="F11" s="65">
        <v>1</v>
      </c>
      <c r="G11" s="65">
        <v>0.8</v>
      </c>
      <c r="H11" s="50" t="s">
        <v>109</v>
      </c>
      <c r="I11" s="82"/>
      <c r="J11" s="84"/>
    </row>
    <row r="12" spans="1:10" ht="26.25" customHeight="1" thickBot="1" x14ac:dyDescent="0.25">
      <c r="A12" s="50" t="s">
        <v>110</v>
      </c>
      <c r="B12" s="65"/>
      <c r="C12" s="65"/>
      <c r="D12" s="59"/>
      <c r="E12" s="65">
        <v>1.5</v>
      </c>
      <c r="F12" s="65">
        <v>1</v>
      </c>
      <c r="G12" s="65">
        <v>0.8</v>
      </c>
      <c r="H12" s="50" t="s">
        <v>110</v>
      </c>
      <c r="I12" s="82"/>
      <c r="J12" s="81"/>
    </row>
    <row r="13" spans="1:10" ht="26.25" customHeight="1" thickBot="1" x14ac:dyDescent="0.25">
      <c r="A13" s="50" t="s">
        <v>18</v>
      </c>
      <c r="B13" s="59"/>
      <c r="C13" s="59"/>
      <c r="D13" s="65"/>
      <c r="E13" s="65">
        <v>1.5</v>
      </c>
      <c r="F13" s="65">
        <v>1</v>
      </c>
      <c r="G13" s="65">
        <v>0.8</v>
      </c>
      <c r="H13" s="50" t="s">
        <v>18</v>
      </c>
      <c r="I13" s="82"/>
      <c r="J13" s="84"/>
    </row>
    <row r="14" spans="1:10" ht="26.25" customHeight="1" thickBot="1" x14ac:dyDescent="0.25">
      <c r="A14" s="50" t="s">
        <v>111</v>
      </c>
      <c r="B14" s="59"/>
      <c r="C14" s="59"/>
      <c r="D14" s="59"/>
      <c r="E14" s="65">
        <v>1.5</v>
      </c>
      <c r="F14" s="65">
        <v>1</v>
      </c>
      <c r="G14" s="65">
        <v>0.8</v>
      </c>
      <c r="H14" s="50" t="s">
        <v>111</v>
      </c>
      <c r="I14" s="82"/>
      <c r="J14" s="84"/>
    </row>
    <row r="15" spans="1:10" ht="26.25" customHeight="1" thickBot="1" x14ac:dyDescent="0.25">
      <c r="A15" s="50" t="s">
        <v>112</v>
      </c>
      <c r="B15" s="59"/>
      <c r="C15" s="59"/>
      <c r="D15" s="59"/>
      <c r="E15" s="65">
        <v>1.5</v>
      </c>
      <c r="F15" s="65">
        <v>1</v>
      </c>
      <c r="G15" s="65">
        <v>0.8</v>
      </c>
      <c r="H15" s="50" t="s">
        <v>112</v>
      </c>
      <c r="I15" s="82"/>
      <c r="J15" s="84"/>
    </row>
    <row r="16" spans="1:10" ht="26.25" customHeight="1" thickBot="1" x14ac:dyDescent="0.25">
      <c r="A16" s="50" t="s">
        <v>113</v>
      </c>
      <c r="B16" s="65"/>
      <c r="C16" s="59"/>
      <c r="D16" s="59"/>
      <c r="E16" s="65">
        <v>1.5</v>
      </c>
      <c r="F16" s="65">
        <v>1</v>
      </c>
      <c r="G16" s="65">
        <v>0.8</v>
      </c>
      <c r="H16" s="50" t="s">
        <v>113</v>
      </c>
      <c r="I16" s="82"/>
      <c r="J16" s="84"/>
    </row>
    <row r="17" spans="1:10" ht="26.25" customHeight="1" thickBot="1" x14ac:dyDescent="0.25">
      <c r="A17" s="50" t="s">
        <v>114</v>
      </c>
      <c r="B17" s="92"/>
      <c r="C17" s="59"/>
      <c r="D17" s="96"/>
      <c r="E17" s="65">
        <v>1.5</v>
      </c>
      <c r="F17" s="65">
        <v>1</v>
      </c>
      <c r="G17" s="65">
        <v>0.8</v>
      </c>
      <c r="H17" s="50" t="s">
        <v>114</v>
      </c>
      <c r="I17" s="82"/>
      <c r="J17" s="84"/>
    </row>
    <row r="18" spans="1:10" ht="26.25" customHeight="1" thickBot="1" x14ac:dyDescent="0.25">
      <c r="A18" s="50" t="s">
        <v>115</v>
      </c>
      <c r="B18" s="59"/>
      <c r="C18" s="59"/>
      <c r="D18" s="92"/>
      <c r="E18" s="65">
        <v>1.5</v>
      </c>
      <c r="F18" s="65">
        <v>1</v>
      </c>
      <c r="G18" s="65">
        <v>0.8</v>
      </c>
      <c r="H18" s="50" t="s">
        <v>115</v>
      </c>
      <c r="I18" s="82"/>
      <c r="J18" s="84"/>
    </row>
  </sheetData>
  <mergeCells count="9">
    <mergeCell ref="G1:G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6747D-DAAA-4B99-A537-22F608806385}">
  <dimension ref="A1:Q17"/>
  <sheetViews>
    <sheetView workbookViewId="0">
      <selection activeCell="P2" sqref="P2:Q17"/>
    </sheetView>
  </sheetViews>
  <sheetFormatPr defaultRowHeight="18" customHeight="1" x14ac:dyDescent="0.2"/>
  <cols>
    <col min="10" max="11" width="13.875" customWidth="1"/>
    <col min="12" max="15" width="5.875" customWidth="1"/>
    <col min="16" max="17" width="15" customWidth="1"/>
  </cols>
  <sheetData>
    <row r="1" spans="1:17" ht="18" customHeight="1" x14ac:dyDescent="0.3">
      <c r="A1" s="103" t="s">
        <v>118</v>
      </c>
      <c r="B1" s="103" t="s">
        <v>119</v>
      </c>
      <c r="C1" s="103" t="s">
        <v>120</v>
      </c>
      <c r="D1" s="103" t="s">
        <v>121</v>
      </c>
      <c r="E1" s="103" t="s">
        <v>122</v>
      </c>
      <c r="F1" s="103" t="s">
        <v>123</v>
      </c>
      <c r="G1" s="103" t="s">
        <v>124</v>
      </c>
      <c r="H1" s="103" t="s">
        <v>125</v>
      </c>
      <c r="I1" s="103" t="s">
        <v>126</v>
      </c>
      <c r="J1" s="103" t="s">
        <v>127</v>
      </c>
      <c r="K1" s="103" t="s">
        <v>128</v>
      </c>
      <c r="L1" s="103" t="s">
        <v>129</v>
      </c>
      <c r="M1" s="103" t="s">
        <v>130</v>
      </c>
      <c r="N1" s="103" t="s">
        <v>131</v>
      </c>
      <c r="O1" s="103" t="s">
        <v>132</v>
      </c>
      <c r="P1" s="103" t="s">
        <v>56</v>
      </c>
      <c r="Q1" s="103" t="s">
        <v>133</v>
      </c>
    </row>
    <row r="2" spans="1:17" ht="18" customHeight="1" x14ac:dyDescent="0.3">
      <c r="A2" s="104">
        <v>4</v>
      </c>
      <c r="B2" s="105" t="s">
        <v>134</v>
      </c>
      <c r="C2" s="105" t="s">
        <v>135</v>
      </c>
      <c r="D2" s="105" t="s">
        <v>136</v>
      </c>
      <c r="E2" s="105" t="s">
        <v>28</v>
      </c>
      <c r="F2" s="105" t="s">
        <v>137</v>
      </c>
      <c r="G2" s="106">
        <v>2.0099999999999998</v>
      </c>
      <c r="H2" s="106">
        <v>1.83</v>
      </c>
      <c r="I2" s="106">
        <v>0.89</v>
      </c>
      <c r="J2" s="106">
        <v>291762521.95999998</v>
      </c>
      <c r="K2" s="106">
        <v>-176268246.96000001</v>
      </c>
      <c r="L2" s="104">
        <v>0</v>
      </c>
      <c r="M2" s="104">
        <v>1</v>
      </c>
      <c r="N2" s="104">
        <v>0</v>
      </c>
      <c r="O2" s="104">
        <v>1</v>
      </c>
      <c r="P2" s="106">
        <v>-84859703.659999996</v>
      </c>
      <c r="Q2" s="106">
        <v>-32337948.539999999</v>
      </c>
    </row>
    <row r="3" spans="1:17" ht="18" customHeight="1" x14ac:dyDescent="0.3">
      <c r="A3" s="104">
        <v>4</v>
      </c>
      <c r="B3" s="105" t="s">
        <v>134</v>
      </c>
      <c r="C3" s="105" t="s">
        <v>138</v>
      </c>
      <c r="D3" s="105" t="s">
        <v>139</v>
      </c>
      <c r="E3" s="105" t="s">
        <v>27</v>
      </c>
      <c r="F3" s="105" t="s">
        <v>137</v>
      </c>
      <c r="G3" s="106">
        <v>2.25</v>
      </c>
      <c r="H3" s="106">
        <v>2.14</v>
      </c>
      <c r="I3" s="106">
        <v>1.41</v>
      </c>
      <c r="J3" s="106">
        <v>145566822.96000001</v>
      </c>
      <c r="K3" s="106">
        <v>-3767060.19</v>
      </c>
      <c r="L3" s="104">
        <v>0</v>
      </c>
      <c r="M3" s="104">
        <v>1</v>
      </c>
      <c r="N3" s="104">
        <v>0</v>
      </c>
      <c r="O3" s="104">
        <v>1</v>
      </c>
      <c r="P3" s="106">
        <v>47057678.890000001</v>
      </c>
      <c r="Q3" s="106">
        <v>46628483.75</v>
      </c>
    </row>
    <row r="4" spans="1:17" ht="18" customHeight="1" x14ac:dyDescent="0.3">
      <c r="A4" s="104">
        <v>4</v>
      </c>
      <c r="B4" s="105" t="s">
        <v>134</v>
      </c>
      <c r="C4" s="105" t="s">
        <v>140</v>
      </c>
      <c r="D4" s="105" t="s">
        <v>26</v>
      </c>
      <c r="E4" s="105" t="s">
        <v>141</v>
      </c>
      <c r="F4" s="105" t="s">
        <v>137</v>
      </c>
      <c r="G4" s="106">
        <v>5.19</v>
      </c>
      <c r="H4" s="106">
        <v>5.03</v>
      </c>
      <c r="I4" s="106">
        <v>4.34</v>
      </c>
      <c r="J4" s="106">
        <v>62920331.32</v>
      </c>
      <c r="K4" s="106">
        <v>2691901.1</v>
      </c>
      <c r="L4" s="104">
        <v>0</v>
      </c>
      <c r="M4" s="104">
        <v>0</v>
      </c>
      <c r="N4" s="104">
        <v>0</v>
      </c>
      <c r="O4" s="104">
        <v>0</v>
      </c>
      <c r="P4" s="106">
        <v>13593240.720000001</v>
      </c>
      <c r="Q4" s="106">
        <v>50140057.670000002</v>
      </c>
    </row>
    <row r="5" spans="1:17" ht="18" customHeight="1" x14ac:dyDescent="0.3">
      <c r="A5" s="104">
        <v>4</v>
      </c>
      <c r="B5" s="105" t="s">
        <v>134</v>
      </c>
      <c r="C5" s="105" t="s">
        <v>142</v>
      </c>
      <c r="D5" s="105" t="s">
        <v>143</v>
      </c>
      <c r="E5" s="105" t="s">
        <v>141</v>
      </c>
      <c r="F5" s="105" t="s">
        <v>137</v>
      </c>
      <c r="G5" s="106">
        <v>18.95</v>
      </c>
      <c r="H5" s="106">
        <v>18.61</v>
      </c>
      <c r="I5" s="106">
        <v>17.77</v>
      </c>
      <c r="J5" s="106">
        <v>145604410.78</v>
      </c>
      <c r="K5" s="106">
        <v>-14733671.98</v>
      </c>
      <c r="L5" s="104">
        <v>0</v>
      </c>
      <c r="M5" s="104">
        <v>1</v>
      </c>
      <c r="N5" s="104">
        <v>0</v>
      </c>
      <c r="O5" s="104">
        <v>1</v>
      </c>
      <c r="P5" s="106">
        <v>-6959567.96</v>
      </c>
      <c r="Q5" s="106">
        <v>136008708.15000001</v>
      </c>
    </row>
    <row r="6" spans="1:17" ht="18" customHeight="1" x14ac:dyDescent="0.3">
      <c r="A6" s="104">
        <v>4</v>
      </c>
      <c r="B6" s="105" t="s">
        <v>134</v>
      </c>
      <c r="C6" s="105" t="s">
        <v>144</v>
      </c>
      <c r="D6" s="105" t="s">
        <v>24</v>
      </c>
      <c r="E6" s="105" t="s">
        <v>141</v>
      </c>
      <c r="F6" s="105" t="s">
        <v>137</v>
      </c>
      <c r="G6" s="106">
        <v>4.05</v>
      </c>
      <c r="H6" s="106">
        <v>3.72</v>
      </c>
      <c r="I6" s="106">
        <v>3.23</v>
      </c>
      <c r="J6" s="106">
        <v>30210720.620000001</v>
      </c>
      <c r="K6" s="106">
        <v>-25581376.25</v>
      </c>
      <c r="L6" s="104">
        <v>0</v>
      </c>
      <c r="M6" s="104">
        <v>1</v>
      </c>
      <c r="N6" s="104">
        <v>0</v>
      </c>
      <c r="O6" s="104">
        <v>1</v>
      </c>
      <c r="P6" s="106">
        <v>-18885376.190000001</v>
      </c>
      <c r="Q6" s="106">
        <v>22086840.710000001</v>
      </c>
    </row>
    <row r="7" spans="1:17" ht="18" customHeight="1" x14ac:dyDescent="0.3">
      <c r="A7" s="104">
        <v>4</v>
      </c>
      <c r="B7" s="105" t="s">
        <v>134</v>
      </c>
      <c r="C7" s="105" t="s">
        <v>145</v>
      </c>
      <c r="D7" s="105" t="s">
        <v>23</v>
      </c>
      <c r="E7" s="105" t="s">
        <v>141</v>
      </c>
      <c r="F7" s="105" t="s">
        <v>137</v>
      </c>
      <c r="G7" s="106">
        <v>1.7</v>
      </c>
      <c r="H7" s="106">
        <v>1.54</v>
      </c>
      <c r="I7" s="106">
        <v>0.96</v>
      </c>
      <c r="J7" s="106">
        <v>8587132.7599999998</v>
      </c>
      <c r="K7" s="106">
        <v>-13510332.57</v>
      </c>
      <c r="L7" s="104">
        <v>0</v>
      </c>
      <c r="M7" s="104">
        <v>1</v>
      </c>
      <c r="N7" s="104">
        <v>0</v>
      </c>
      <c r="O7" s="104">
        <v>1</v>
      </c>
      <c r="P7" s="106">
        <v>-10935613.050000001</v>
      </c>
      <c r="Q7" s="106">
        <v>-568298.49</v>
      </c>
    </row>
    <row r="8" spans="1:17" ht="18" customHeight="1" x14ac:dyDescent="0.3">
      <c r="A8" s="104">
        <v>4</v>
      </c>
      <c r="B8" s="105" t="s">
        <v>134</v>
      </c>
      <c r="C8" s="105" t="s">
        <v>146</v>
      </c>
      <c r="D8" s="105" t="s">
        <v>22</v>
      </c>
      <c r="E8" s="105" t="s">
        <v>141</v>
      </c>
      <c r="F8" s="105" t="s">
        <v>137</v>
      </c>
      <c r="G8" s="106">
        <v>5.0599999999999996</v>
      </c>
      <c r="H8" s="106">
        <v>4.87</v>
      </c>
      <c r="I8" s="106">
        <v>4.18</v>
      </c>
      <c r="J8" s="106">
        <v>234128634.71000001</v>
      </c>
      <c r="K8" s="106">
        <v>-88598073.189999998</v>
      </c>
      <c r="L8" s="104">
        <v>0</v>
      </c>
      <c r="M8" s="104">
        <v>1</v>
      </c>
      <c r="N8" s="104">
        <v>0</v>
      </c>
      <c r="O8" s="104">
        <v>1</v>
      </c>
      <c r="P8" s="106">
        <v>-6995299.4000000004</v>
      </c>
      <c r="Q8" s="106">
        <v>181398787.43000001</v>
      </c>
    </row>
    <row r="9" spans="1:17" ht="18" customHeight="1" x14ac:dyDescent="0.3">
      <c r="A9" s="104">
        <v>4</v>
      </c>
      <c r="B9" s="105" t="s">
        <v>134</v>
      </c>
      <c r="C9" s="105" t="s">
        <v>147</v>
      </c>
      <c r="D9" s="105" t="s">
        <v>21</v>
      </c>
      <c r="E9" s="105" t="s">
        <v>141</v>
      </c>
      <c r="F9" s="105" t="s">
        <v>137</v>
      </c>
      <c r="G9" s="106">
        <v>3.63</v>
      </c>
      <c r="H9" s="106">
        <v>3.14</v>
      </c>
      <c r="I9" s="106">
        <v>2.15</v>
      </c>
      <c r="J9" s="106">
        <v>26985916.07</v>
      </c>
      <c r="K9" s="106">
        <v>-19004640.440000001</v>
      </c>
      <c r="L9" s="104">
        <v>0</v>
      </c>
      <c r="M9" s="104">
        <v>1</v>
      </c>
      <c r="N9" s="104">
        <v>0</v>
      </c>
      <c r="O9" s="104">
        <v>1</v>
      </c>
      <c r="P9" s="106">
        <v>-14214892.550000001</v>
      </c>
      <c r="Q9" s="106">
        <v>11824963.92</v>
      </c>
    </row>
    <row r="10" spans="1:17" ht="18" customHeight="1" x14ac:dyDescent="0.3">
      <c r="A10" s="104">
        <v>4</v>
      </c>
      <c r="B10" s="105" t="s">
        <v>134</v>
      </c>
      <c r="C10" s="105" t="s">
        <v>148</v>
      </c>
      <c r="D10" s="105" t="s">
        <v>20</v>
      </c>
      <c r="E10" s="105" t="s">
        <v>141</v>
      </c>
      <c r="F10" s="105" t="s">
        <v>137</v>
      </c>
      <c r="G10" s="106">
        <v>8.34</v>
      </c>
      <c r="H10" s="106">
        <v>8.0500000000000007</v>
      </c>
      <c r="I10" s="106">
        <v>7.33</v>
      </c>
      <c r="J10" s="106">
        <v>65696563.030000001</v>
      </c>
      <c r="K10" s="106">
        <v>-22232153.140000001</v>
      </c>
      <c r="L10" s="104">
        <v>0</v>
      </c>
      <c r="M10" s="104">
        <v>1</v>
      </c>
      <c r="N10" s="104">
        <v>0</v>
      </c>
      <c r="O10" s="104">
        <v>1</v>
      </c>
      <c r="P10" s="106">
        <v>-17013606.09</v>
      </c>
      <c r="Q10" s="106">
        <v>56553906.130000003</v>
      </c>
    </row>
    <row r="11" spans="1:17" ht="18" customHeight="1" x14ac:dyDescent="0.3">
      <c r="A11" s="104">
        <v>4</v>
      </c>
      <c r="B11" s="105" t="s">
        <v>134</v>
      </c>
      <c r="C11" s="105" t="s">
        <v>149</v>
      </c>
      <c r="D11" s="105" t="s">
        <v>150</v>
      </c>
      <c r="E11" s="105" t="s">
        <v>141</v>
      </c>
      <c r="F11" s="105" t="s">
        <v>137</v>
      </c>
      <c r="G11" s="106">
        <v>6.28</v>
      </c>
      <c r="H11" s="106">
        <v>6.03</v>
      </c>
      <c r="I11" s="106">
        <v>4.95</v>
      </c>
      <c r="J11" s="106">
        <v>57098534.68</v>
      </c>
      <c r="K11" s="106">
        <v>2653322.19</v>
      </c>
      <c r="L11" s="104">
        <v>0</v>
      </c>
      <c r="M11" s="104">
        <v>0</v>
      </c>
      <c r="N11" s="104">
        <v>0</v>
      </c>
      <c r="O11" s="104">
        <v>0</v>
      </c>
      <c r="P11" s="106">
        <v>4505204.5199999996</v>
      </c>
      <c r="Q11" s="106">
        <v>42733323.240000002</v>
      </c>
    </row>
    <row r="12" spans="1:17" ht="18" customHeight="1" x14ac:dyDescent="0.3">
      <c r="A12" s="104">
        <v>4</v>
      </c>
      <c r="B12" s="105" t="s">
        <v>134</v>
      </c>
      <c r="C12" s="105" t="s">
        <v>151</v>
      </c>
      <c r="D12" s="105" t="s">
        <v>152</v>
      </c>
      <c r="E12" s="105" t="s">
        <v>141</v>
      </c>
      <c r="F12" s="105" t="s">
        <v>137</v>
      </c>
      <c r="G12" s="106">
        <v>5.56</v>
      </c>
      <c r="H12" s="106">
        <v>5.22</v>
      </c>
      <c r="I12" s="106">
        <v>4.55</v>
      </c>
      <c r="J12" s="106">
        <v>53572898.039999999</v>
      </c>
      <c r="K12" s="106">
        <v>-24161712.98</v>
      </c>
      <c r="L12" s="104">
        <v>0</v>
      </c>
      <c r="M12" s="104">
        <v>1</v>
      </c>
      <c r="N12" s="104">
        <v>0</v>
      </c>
      <c r="O12" s="104">
        <v>1</v>
      </c>
      <c r="P12" s="106">
        <v>-17236325.199999999</v>
      </c>
      <c r="Q12" s="106">
        <v>41624836.969999999</v>
      </c>
    </row>
    <row r="13" spans="1:17" ht="18" customHeight="1" x14ac:dyDescent="0.3">
      <c r="A13" s="104">
        <v>4</v>
      </c>
      <c r="B13" s="105" t="s">
        <v>134</v>
      </c>
      <c r="C13" s="105" t="s">
        <v>153</v>
      </c>
      <c r="D13" s="105" t="s">
        <v>17</v>
      </c>
      <c r="E13" s="105" t="s">
        <v>141</v>
      </c>
      <c r="F13" s="105" t="s">
        <v>137</v>
      </c>
      <c r="G13" s="106">
        <v>7.4</v>
      </c>
      <c r="H13" s="106">
        <v>7.07</v>
      </c>
      <c r="I13" s="106">
        <v>6.18</v>
      </c>
      <c r="J13" s="106">
        <v>118807531.67</v>
      </c>
      <c r="K13" s="106">
        <v>-46758802.590000004</v>
      </c>
      <c r="L13" s="104">
        <v>0</v>
      </c>
      <c r="M13" s="104">
        <v>1</v>
      </c>
      <c r="N13" s="104">
        <v>0</v>
      </c>
      <c r="O13" s="104">
        <v>1</v>
      </c>
      <c r="P13" s="106">
        <v>-28792465.09</v>
      </c>
      <c r="Q13" s="106">
        <v>96275163.969999999</v>
      </c>
    </row>
    <row r="14" spans="1:17" ht="18" customHeight="1" x14ac:dyDescent="0.3">
      <c r="A14" s="104">
        <v>4</v>
      </c>
      <c r="B14" s="105" t="s">
        <v>134</v>
      </c>
      <c r="C14" s="105" t="s">
        <v>154</v>
      </c>
      <c r="D14" s="105" t="s">
        <v>16</v>
      </c>
      <c r="E14" s="105" t="s">
        <v>141</v>
      </c>
      <c r="F14" s="105" t="s">
        <v>137</v>
      </c>
      <c r="G14" s="106">
        <v>3.28</v>
      </c>
      <c r="H14" s="106">
        <v>3.09</v>
      </c>
      <c r="I14" s="106">
        <v>2.7</v>
      </c>
      <c r="J14" s="106">
        <v>14013718.369999999</v>
      </c>
      <c r="K14" s="106">
        <v>-10863633.220000001</v>
      </c>
      <c r="L14" s="104">
        <v>0</v>
      </c>
      <c r="M14" s="104">
        <v>1</v>
      </c>
      <c r="N14" s="104">
        <v>0</v>
      </c>
      <c r="O14" s="104">
        <v>1</v>
      </c>
      <c r="P14" s="106">
        <v>-9487309.0999999996</v>
      </c>
      <c r="Q14" s="106">
        <v>10447482.039999999</v>
      </c>
    </row>
    <row r="15" spans="1:17" ht="18" customHeight="1" x14ac:dyDescent="0.3">
      <c r="A15" s="104">
        <v>4</v>
      </c>
      <c r="B15" s="105" t="s">
        <v>134</v>
      </c>
      <c r="C15" s="105" t="s">
        <v>155</v>
      </c>
      <c r="D15" s="105" t="s">
        <v>15</v>
      </c>
      <c r="E15" s="105" t="s">
        <v>141</v>
      </c>
      <c r="F15" s="105" t="s">
        <v>137</v>
      </c>
      <c r="G15" s="106">
        <v>14.43</v>
      </c>
      <c r="H15" s="106">
        <v>14.31</v>
      </c>
      <c r="I15" s="106">
        <v>11.41</v>
      </c>
      <c r="J15" s="106">
        <v>190398867.65000001</v>
      </c>
      <c r="K15" s="106">
        <v>-28214094.309999999</v>
      </c>
      <c r="L15" s="104">
        <v>0</v>
      </c>
      <c r="M15" s="104">
        <v>1</v>
      </c>
      <c r="N15" s="104">
        <v>0</v>
      </c>
      <c r="O15" s="104">
        <v>1</v>
      </c>
      <c r="P15" s="106">
        <v>-22921724.84</v>
      </c>
      <c r="Q15" s="106">
        <v>147578922.80000001</v>
      </c>
    </row>
    <row r="16" spans="1:17" ht="18" customHeight="1" x14ac:dyDescent="0.3">
      <c r="A16" s="104">
        <v>4</v>
      </c>
      <c r="B16" s="105" t="s">
        <v>134</v>
      </c>
      <c r="C16" s="105" t="s">
        <v>156</v>
      </c>
      <c r="D16" s="105" t="s">
        <v>14</v>
      </c>
      <c r="E16" s="105" t="s">
        <v>141</v>
      </c>
      <c r="F16" s="105" t="s">
        <v>137</v>
      </c>
      <c r="G16" s="106">
        <v>1.37</v>
      </c>
      <c r="H16" s="106">
        <v>1.04</v>
      </c>
      <c r="I16" s="106">
        <v>0.46</v>
      </c>
      <c r="J16" s="106">
        <v>2751123.51</v>
      </c>
      <c r="K16" s="106">
        <v>-16237132.52</v>
      </c>
      <c r="L16" s="104">
        <v>2</v>
      </c>
      <c r="M16" s="104">
        <v>1</v>
      </c>
      <c r="N16" s="104">
        <v>2</v>
      </c>
      <c r="O16" s="104">
        <v>5</v>
      </c>
      <c r="P16" s="106">
        <v>-12355753.65</v>
      </c>
      <c r="Q16" s="106">
        <v>-4088416.53</v>
      </c>
    </row>
    <row r="17" spans="1:17" ht="18" customHeight="1" x14ac:dyDescent="0.3">
      <c r="A17" s="104">
        <v>4</v>
      </c>
      <c r="B17" s="105" t="s">
        <v>134</v>
      </c>
      <c r="C17" s="105" t="s">
        <v>157</v>
      </c>
      <c r="D17" s="105" t="s">
        <v>13</v>
      </c>
      <c r="E17" s="105" t="s">
        <v>141</v>
      </c>
      <c r="F17" s="105" t="s">
        <v>137</v>
      </c>
      <c r="G17" s="106">
        <v>1.44</v>
      </c>
      <c r="H17" s="106">
        <v>1.26</v>
      </c>
      <c r="I17" s="106">
        <v>0.72</v>
      </c>
      <c r="J17" s="106">
        <v>2715725.47</v>
      </c>
      <c r="K17" s="106">
        <v>-12095319.439999999</v>
      </c>
      <c r="L17" s="104">
        <v>2</v>
      </c>
      <c r="M17" s="104">
        <v>1</v>
      </c>
      <c r="N17" s="104">
        <v>2</v>
      </c>
      <c r="O17" s="104">
        <v>5</v>
      </c>
      <c r="P17" s="106">
        <v>-8208278.9199999999</v>
      </c>
      <c r="Q17" s="106">
        <v>-1751912.54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I17" sqref="I17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4" t="s">
        <v>65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" t="s">
        <v>53</v>
      </c>
      <c r="P1" s="38">
        <v>44911</v>
      </c>
    </row>
    <row r="2" spans="1:25" ht="54.75" customHeight="1" thickBot="1" x14ac:dyDescent="0.3">
      <c r="C2" s="115" t="s">
        <v>41</v>
      </c>
      <c r="D2" s="116" t="s">
        <v>40</v>
      </c>
      <c r="E2" s="116"/>
      <c r="F2" s="116"/>
      <c r="G2" s="116"/>
      <c r="H2" s="117" t="s">
        <v>39</v>
      </c>
      <c r="I2" s="117"/>
      <c r="J2" s="117"/>
      <c r="K2" s="118" t="s">
        <v>38</v>
      </c>
      <c r="L2" s="118"/>
      <c r="M2" s="118"/>
      <c r="N2" s="119" t="s">
        <v>66</v>
      </c>
      <c r="O2" s="134" t="s">
        <v>67</v>
      </c>
      <c r="P2" s="131" t="s">
        <v>56</v>
      </c>
      <c r="Q2" s="130" t="s">
        <v>61</v>
      </c>
    </row>
    <row r="3" spans="1:25" ht="38.25" customHeight="1" thickBot="1" x14ac:dyDescent="0.3">
      <c r="C3" s="115"/>
      <c r="D3" s="122" t="s">
        <v>36</v>
      </c>
      <c r="E3" s="122" t="s">
        <v>35</v>
      </c>
      <c r="F3" s="122" t="s">
        <v>34</v>
      </c>
      <c r="G3" s="123" t="s">
        <v>29</v>
      </c>
      <c r="H3" s="124" t="s">
        <v>33</v>
      </c>
      <c r="I3" s="115" t="s">
        <v>32</v>
      </c>
      <c r="J3" s="125" t="s">
        <v>29</v>
      </c>
      <c r="K3" s="126" t="s">
        <v>31</v>
      </c>
      <c r="L3" s="115" t="s">
        <v>30</v>
      </c>
      <c r="M3" s="120" t="s">
        <v>29</v>
      </c>
      <c r="N3" s="119"/>
      <c r="O3" s="134"/>
      <c r="P3" s="132"/>
      <c r="Q3" s="130"/>
    </row>
    <row r="4" spans="1:25" ht="36.75" customHeight="1" thickBot="1" x14ac:dyDescent="0.3">
      <c r="C4" s="115"/>
      <c r="D4" s="122"/>
      <c r="E4" s="122"/>
      <c r="F4" s="122"/>
      <c r="G4" s="123"/>
      <c r="H4" s="124"/>
      <c r="I4" s="115"/>
      <c r="J4" s="125"/>
      <c r="K4" s="126"/>
      <c r="L4" s="115"/>
      <c r="M4" s="120"/>
      <c r="N4" s="119"/>
      <c r="O4" s="134"/>
      <c r="P4" s="133"/>
      <c r="Q4" s="13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43">
        <v>2.93</v>
      </c>
      <c r="E5" s="43">
        <v>2.62</v>
      </c>
      <c r="F5" s="47">
        <v>1.32</v>
      </c>
      <c r="G5" s="43">
        <f t="shared" ref="G5:G20" si="0">(IF(D5&lt;1.5,1,0))+(IF(E5&lt;1,1,0))+(IF(F5&lt;0.8,1,0))</f>
        <v>0</v>
      </c>
      <c r="H5" s="46">
        <v>431700341.44</v>
      </c>
      <c r="I5" s="46">
        <v>62185774.369999997</v>
      </c>
      <c r="J5" s="43">
        <f t="shared" ref="J5:J20" si="1">IF(I5&lt;0,1,0)+IF(H5&lt;0,1,0)</f>
        <v>0</v>
      </c>
      <c r="K5" s="45">
        <f t="shared" ref="K5:K20" si="2">SUM(I5/2)</f>
        <v>31092887.184999999</v>
      </c>
      <c r="L5" s="41">
        <f>+H5/K5</f>
        <v>13.884215347112031</v>
      </c>
      <c r="M5" s="40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2">
        <f>SUM(G5+J5+M5)</f>
        <v>0</v>
      </c>
      <c r="O5" s="42">
        <f>'ต.ค.65'!N5</f>
        <v>0</v>
      </c>
      <c r="P5" s="55">
        <v>59156191.109999999</v>
      </c>
      <c r="Q5" s="46">
        <v>70296758.040000007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43">
        <v>2.15</v>
      </c>
      <c r="E6" s="43">
        <v>2.0499999999999998</v>
      </c>
      <c r="F6" s="43">
        <v>1.05</v>
      </c>
      <c r="G6" s="43">
        <f t="shared" si="0"/>
        <v>0</v>
      </c>
      <c r="H6" s="46">
        <v>147723061.72999999</v>
      </c>
      <c r="I6" s="46">
        <v>5420399.3799999999</v>
      </c>
      <c r="J6" s="43">
        <f>IF(I6&lt;0,1,0)+IF(H6&lt;0,1,0)</f>
        <v>0</v>
      </c>
      <c r="K6" s="45">
        <f>SUM(I6/2)</f>
        <v>2710199.69</v>
      </c>
      <c r="L6" s="41">
        <f>+H6/K6</f>
        <v>54.506338508953185</v>
      </c>
      <c r="M6" s="40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2">
        <f>SUM(G6+J6+M6)</f>
        <v>0</v>
      </c>
      <c r="O6" s="42">
        <f>'ต.ค.65'!N6</f>
        <v>0</v>
      </c>
      <c r="P6" s="55">
        <v>15621813.359999999</v>
      </c>
      <c r="Q6" s="46">
        <v>6851829.9699999997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43">
        <v>4.22</v>
      </c>
      <c r="E7" s="43">
        <v>4.0199999999999996</v>
      </c>
      <c r="F7" s="47">
        <v>3.03</v>
      </c>
      <c r="G7" s="43">
        <f t="shared" si="0"/>
        <v>0</v>
      </c>
      <c r="H7" s="46">
        <v>76950231.120000005</v>
      </c>
      <c r="I7" s="51">
        <v>-2214899.25</v>
      </c>
      <c r="J7" s="39">
        <f t="shared" si="1"/>
        <v>1</v>
      </c>
      <c r="K7" s="48">
        <f t="shared" si="2"/>
        <v>-1107449.625</v>
      </c>
      <c r="L7" s="41">
        <f t="shared" ref="L7:L20" si="3">+H7/K7</f>
        <v>-69.484181838067812</v>
      </c>
      <c r="M7" s="40">
        <f t="shared" ref="M7:M20" si="4">IF(AND(I7&lt;0,H7&lt;0),2,IF(AND(I7&gt;0,H7&gt;0),0,IF(AND(H7&lt;0,I7&gt;0),IF(ABS((H7/(I7/2)))&lt;3,0,IF(ABS((H7/(I7/2)))&gt;6,2,1)),IF(AND(H7&gt;0,I7&lt;0),IF(ABS((H7/(I7/2)))&lt;3,2,IF(ABS((H7/(I7/2)))&gt;6,0,1))))))</f>
        <v>0</v>
      </c>
      <c r="N7" s="42">
        <f t="shared" ref="N7:N20" si="5">SUM(G7+J7+M7)</f>
        <v>1</v>
      </c>
      <c r="O7" s="42">
        <f>'ต.ค.65'!N7</f>
        <v>1</v>
      </c>
      <c r="P7" s="51">
        <v>-1636118.49</v>
      </c>
      <c r="Q7" s="46">
        <v>48354008.219999999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43">
        <v>16.77</v>
      </c>
      <c r="E8" s="43">
        <v>16.489999999999998</v>
      </c>
      <c r="F8" s="43">
        <v>15.11</v>
      </c>
      <c r="G8" s="43">
        <f t="shared" si="0"/>
        <v>0</v>
      </c>
      <c r="H8" s="46">
        <v>155663684.06</v>
      </c>
      <c r="I8" s="51">
        <v>-1008989.57</v>
      </c>
      <c r="J8" s="39">
        <f t="shared" si="1"/>
        <v>1</v>
      </c>
      <c r="K8" s="48">
        <f t="shared" si="2"/>
        <v>-504494.78499999997</v>
      </c>
      <c r="L8" s="41">
        <f t="shared" si="3"/>
        <v>-308.55360389899772</v>
      </c>
      <c r="M8" s="40">
        <f t="shared" si="4"/>
        <v>0</v>
      </c>
      <c r="N8" s="42">
        <f t="shared" si="5"/>
        <v>1</v>
      </c>
      <c r="O8" s="42">
        <f>'ต.ค.65'!N8</f>
        <v>1</v>
      </c>
      <c r="P8" s="55">
        <v>310257.18</v>
      </c>
      <c r="Q8" s="46">
        <v>139211873.81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43">
        <v>6.54</v>
      </c>
      <c r="E9" s="43">
        <v>6.08</v>
      </c>
      <c r="F9" s="43">
        <v>4.75</v>
      </c>
      <c r="G9" s="43">
        <f t="shared" si="0"/>
        <v>0</v>
      </c>
      <c r="H9" s="46">
        <v>57995092.259999998</v>
      </c>
      <c r="I9" s="51">
        <v>-1647708.26</v>
      </c>
      <c r="J9" s="39">
        <f t="shared" si="1"/>
        <v>1</v>
      </c>
      <c r="K9" s="48">
        <f t="shared" si="2"/>
        <v>-823854.13</v>
      </c>
      <c r="L9" s="41">
        <f t="shared" si="3"/>
        <v>-70.394855288277796</v>
      </c>
      <c r="M9" s="40">
        <f t="shared" si="4"/>
        <v>0</v>
      </c>
      <c r="N9" s="42">
        <f t="shared" si="5"/>
        <v>1</v>
      </c>
      <c r="O9" s="42">
        <f>'ต.ค.65'!N9</f>
        <v>1</v>
      </c>
      <c r="P9" s="51">
        <v>-366871.45</v>
      </c>
      <c r="Q9" s="46">
        <v>39332907.149999999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47">
        <v>2</v>
      </c>
      <c r="E10" s="43">
        <v>1.85</v>
      </c>
      <c r="F10" s="47">
        <v>1.4</v>
      </c>
      <c r="G10" s="43">
        <f t="shared" si="0"/>
        <v>0</v>
      </c>
      <c r="H10" s="46">
        <v>16959627.34</v>
      </c>
      <c r="I10" s="51">
        <v>-2823594.76</v>
      </c>
      <c r="J10" s="39">
        <f t="shared" si="1"/>
        <v>1</v>
      </c>
      <c r="K10" s="48">
        <f t="shared" si="2"/>
        <v>-1411797.38</v>
      </c>
      <c r="L10" s="41">
        <f t="shared" si="3"/>
        <v>-12.012791339788434</v>
      </c>
      <c r="M10" s="40">
        <f t="shared" si="4"/>
        <v>0</v>
      </c>
      <c r="N10" s="42">
        <f t="shared" si="5"/>
        <v>1</v>
      </c>
      <c r="O10" s="42">
        <f>'ต.ค.65'!N10</f>
        <v>1</v>
      </c>
      <c r="P10" s="51">
        <v>-2251231.2200000002</v>
      </c>
      <c r="Q10" s="46">
        <v>6740637.5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43">
        <v>7.49</v>
      </c>
      <c r="E11" s="43">
        <v>7.19</v>
      </c>
      <c r="F11" s="43">
        <v>6.58</v>
      </c>
      <c r="G11" s="43">
        <f t="shared" si="0"/>
        <v>0</v>
      </c>
      <c r="H11" s="46">
        <v>248400635.38999999</v>
      </c>
      <c r="I11" s="51">
        <v>-21682927.870000001</v>
      </c>
      <c r="J11" s="39">
        <f t="shared" si="1"/>
        <v>1</v>
      </c>
      <c r="K11" s="48">
        <f t="shared" si="2"/>
        <v>-10841463.935000001</v>
      </c>
      <c r="L11" s="41">
        <f t="shared" si="3"/>
        <v>-22.912093503173192</v>
      </c>
      <c r="M11" s="40">
        <f t="shared" si="4"/>
        <v>0</v>
      </c>
      <c r="N11" s="42">
        <f t="shared" si="5"/>
        <v>1</v>
      </c>
      <c r="O11" s="42">
        <f>'ต.ค.65'!N11</f>
        <v>1</v>
      </c>
      <c r="P11" s="51">
        <v>-5706138.7300000004</v>
      </c>
      <c r="Q11" s="46">
        <v>211436317.15000001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43">
        <v>2.92</v>
      </c>
      <c r="E12" s="43">
        <v>2.65</v>
      </c>
      <c r="F12" s="47">
        <v>1.87</v>
      </c>
      <c r="G12" s="43">
        <f t="shared" si="0"/>
        <v>0</v>
      </c>
      <c r="H12" s="46">
        <v>36103113.490000002</v>
      </c>
      <c r="I12" s="51">
        <v>-2280514.14</v>
      </c>
      <c r="J12" s="39">
        <f t="shared" si="1"/>
        <v>1</v>
      </c>
      <c r="K12" s="48">
        <f t="shared" si="2"/>
        <v>-1140257.07</v>
      </c>
      <c r="L12" s="41">
        <f t="shared" si="3"/>
        <v>-31.662257959075841</v>
      </c>
      <c r="M12" s="40">
        <f t="shared" si="4"/>
        <v>0</v>
      </c>
      <c r="N12" s="42">
        <f t="shared" si="5"/>
        <v>1</v>
      </c>
      <c r="O12" s="42">
        <f>'ต.ค.65'!N12</f>
        <v>1</v>
      </c>
      <c r="P12" s="51">
        <v>-1703650.57</v>
      </c>
      <c r="Q12" s="46">
        <v>15870952.890000001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43">
        <v>9.6199999999999992</v>
      </c>
      <c r="E13" s="43">
        <v>9.26</v>
      </c>
      <c r="F13" s="43">
        <v>7.25</v>
      </c>
      <c r="G13" s="43">
        <f t="shared" si="0"/>
        <v>0</v>
      </c>
      <c r="H13" s="46">
        <v>90038794.060000002</v>
      </c>
      <c r="I13" s="51">
        <v>-7297386.8499999996</v>
      </c>
      <c r="J13" s="39">
        <f t="shared" si="1"/>
        <v>1</v>
      </c>
      <c r="K13" s="48">
        <f t="shared" si="2"/>
        <v>-3648693.4249999998</v>
      </c>
      <c r="L13" s="41">
        <f t="shared" si="3"/>
        <v>-24.676996275728484</v>
      </c>
      <c r="M13" s="40">
        <f t="shared" si="4"/>
        <v>0</v>
      </c>
      <c r="N13" s="42">
        <f t="shared" si="5"/>
        <v>1</v>
      </c>
      <c r="O13" s="42">
        <f>'ต.ค.65'!N13</f>
        <v>1</v>
      </c>
      <c r="P13" s="51">
        <v>-6342259.2400000002</v>
      </c>
      <c r="Q13" s="46">
        <v>65097474.869999997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43">
        <v>5.16</v>
      </c>
      <c r="E14" s="43">
        <v>4.99</v>
      </c>
      <c r="F14" s="43">
        <v>4.01</v>
      </c>
      <c r="G14" s="43">
        <f t="shared" si="0"/>
        <v>0</v>
      </c>
      <c r="H14" s="46">
        <v>70356124.489999995</v>
      </c>
      <c r="I14" s="51">
        <v>-387446.13</v>
      </c>
      <c r="J14" s="39">
        <f t="shared" si="1"/>
        <v>1</v>
      </c>
      <c r="K14" s="48">
        <f t="shared" si="2"/>
        <v>-193723.065</v>
      </c>
      <c r="L14" s="41">
        <f t="shared" si="3"/>
        <v>-363.17887335718126</v>
      </c>
      <c r="M14" s="40">
        <f t="shared" si="4"/>
        <v>0</v>
      </c>
      <c r="N14" s="42">
        <f t="shared" si="5"/>
        <v>1</v>
      </c>
      <c r="O14" s="42">
        <f>'ต.ค.65'!N14</f>
        <v>0</v>
      </c>
      <c r="P14" s="55">
        <v>971803.59</v>
      </c>
      <c r="Q14" s="46">
        <v>50828032.149999999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43">
        <v>8.92</v>
      </c>
      <c r="E15" s="43">
        <v>8.3800000000000008</v>
      </c>
      <c r="F15" s="43">
        <v>6.93</v>
      </c>
      <c r="G15" s="43">
        <f t="shared" si="0"/>
        <v>0</v>
      </c>
      <c r="H15" s="46">
        <v>75678235.5</v>
      </c>
      <c r="I15" s="51">
        <v>-837383.95</v>
      </c>
      <c r="J15" s="39">
        <f t="shared" si="1"/>
        <v>1</v>
      </c>
      <c r="K15" s="48">
        <f t="shared" si="2"/>
        <v>-418691.97499999998</v>
      </c>
      <c r="L15" s="41">
        <f t="shared" si="3"/>
        <v>-180.74919038035063</v>
      </c>
      <c r="M15" s="40">
        <f t="shared" si="4"/>
        <v>0</v>
      </c>
      <c r="N15" s="42">
        <f t="shared" si="5"/>
        <v>1</v>
      </c>
      <c r="O15" s="42">
        <f>'ต.ค.65'!N15</f>
        <v>0</v>
      </c>
      <c r="P15" s="55">
        <v>253386.31</v>
      </c>
      <c r="Q15" s="46">
        <v>56614295.130000003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43">
        <v>6.88</v>
      </c>
      <c r="E16" s="43">
        <v>6.58</v>
      </c>
      <c r="F16" s="43">
        <v>5.14</v>
      </c>
      <c r="G16" s="43">
        <f t="shared" si="0"/>
        <v>0</v>
      </c>
      <c r="H16" s="46">
        <v>186692432.06</v>
      </c>
      <c r="I16" s="46">
        <v>7520292.0599999996</v>
      </c>
      <c r="J16" s="43">
        <f t="shared" si="1"/>
        <v>0</v>
      </c>
      <c r="K16" s="48">
        <f t="shared" si="2"/>
        <v>3760146.03</v>
      </c>
      <c r="L16" s="41">
        <f t="shared" si="3"/>
        <v>49.650314261863926</v>
      </c>
      <c r="M16" s="40">
        <f t="shared" si="4"/>
        <v>0</v>
      </c>
      <c r="N16" s="42">
        <f t="shared" si="5"/>
        <v>0</v>
      </c>
      <c r="O16" s="42">
        <f>'ต.ค.65'!N16</f>
        <v>0</v>
      </c>
      <c r="P16" s="55">
        <v>10281250.98</v>
      </c>
      <c r="Q16" s="46">
        <v>131474692.67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43">
        <v>4.46</v>
      </c>
      <c r="E17" s="43">
        <v>4.24</v>
      </c>
      <c r="F17" s="43">
        <v>3.94</v>
      </c>
      <c r="G17" s="43">
        <f t="shared" si="0"/>
        <v>0</v>
      </c>
      <c r="H17" s="46">
        <v>25124934.190000001</v>
      </c>
      <c r="I17" s="51">
        <v>-2324094.31</v>
      </c>
      <c r="J17" s="39">
        <f t="shared" si="1"/>
        <v>1</v>
      </c>
      <c r="K17" s="48">
        <f t="shared" si="2"/>
        <v>-1162047.155</v>
      </c>
      <c r="L17" s="41">
        <f t="shared" si="3"/>
        <v>-21.621269052545465</v>
      </c>
      <c r="M17" s="40">
        <f t="shared" si="4"/>
        <v>0</v>
      </c>
      <c r="N17" s="42">
        <f t="shared" si="5"/>
        <v>1</v>
      </c>
      <c r="O17" s="42">
        <f>'ต.ค.65'!N17</f>
        <v>1</v>
      </c>
      <c r="P17" s="51">
        <v>-1812115.64</v>
      </c>
      <c r="Q17" s="46">
        <v>21386453.640000001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43">
        <v>16.670000000000002</v>
      </c>
      <c r="E18" s="43">
        <v>16.399999999999999</v>
      </c>
      <c r="F18" s="43">
        <v>15.13</v>
      </c>
      <c r="G18" s="43">
        <f t="shared" si="0"/>
        <v>0</v>
      </c>
      <c r="H18" s="46">
        <v>214047379.68000001</v>
      </c>
      <c r="I18" s="51">
        <v>-3601700.21</v>
      </c>
      <c r="J18" s="39">
        <f t="shared" si="1"/>
        <v>1</v>
      </c>
      <c r="K18" s="48">
        <f t="shared" si="2"/>
        <v>-1800850.105</v>
      </c>
      <c r="L18" s="41">
        <f t="shared" si="3"/>
        <v>-118.85907610283867</v>
      </c>
      <c r="M18" s="43">
        <f t="shared" si="4"/>
        <v>0</v>
      </c>
      <c r="N18" s="42">
        <f t="shared" si="5"/>
        <v>1</v>
      </c>
      <c r="O18" s="42">
        <f>'ต.ค.65'!N18</f>
        <v>1</v>
      </c>
      <c r="P18" s="51">
        <v>-2531373.0499999998</v>
      </c>
      <c r="Q18" s="46">
        <v>193002055.25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43">
        <v>4.22</v>
      </c>
      <c r="E19" s="43">
        <v>3.83</v>
      </c>
      <c r="F19" s="43">
        <v>1.88</v>
      </c>
      <c r="G19" s="43">
        <f t="shared" si="0"/>
        <v>0</v>
      </c>
      <c r="H19" s="46">
        <v>24626977.760000002</v>
      </c>
      <c r="I19" s="51">
        <v>-4093825.67</v>
      </c>
      <c r="J19" s="39">
        <f t="shared" si="1"/>
        <v>1</v>
      </c>
      <c r="K19" s="48">
        <f t="shared" si="2"/>
        <v>-2046912.835</v>
      </c>
      <c r="L19" s="41">
        <f t="shared" si="3"/>
        <v>-12.031278195585696</v>
      </c>
      <c r="M19" s="43">
        <f t="shared" si="4"/>
        <v>0</v>
      </c>
      <c r="N19" s="42">
        <f t="shared" si="5"/>
        <v>1</v>
      </c>
      <c r="O19" s="42">
        <f>'ต.ค.65'!N19</f>
        <v>1</v>
      </c>
      <c r="P19" s="51">
        <v>-3339008.95</v>
      </c>
      <c r="Q19" s="46">
        <v>6751630.7599999998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43">
        <v>2.81</v>
      </c>
      <c r="E20" s="43">
        <v>2.57</v>
      </c>
      <c r="F20" s="43">
        <v>1.76</v>
      </c>
      <c r="G20" s="43">
        <f t="shared" si="0"/>
        <v>0</v>
      </c>
      <c r="H20" s="46">
        <v>12647974.859999999</v>
      </c>
      <c r="I20" s="51">
        <v>-3154220.57</v>
      </c>
      <c r="J20" s="39">
        <f t="shared" si="1"/>
        <v>1</v>
      </c>
      <c r="K20" s="48">
        <f t="shared" si="2"/>
        <v>-1577110.2849999999</v>
      </c>
      <c r="L20" s="41">
        <f t="shared" si="3"/>
        <v>-8.0197149053529895</v>
      </c>
      <c r="M20" s="40">
        <f t="shared" si="4"/>
        <v>0</v>
      </c>
      <c r="N20" s="42">
        <f t="shared" si="5"/>
        <v>1</v>
      </c>
      <c r="O20" s="42">
        <f>'ต.ค.65'!N20</f>
        <v>1</v>
      </c>
      <c r="P20" s="51">
        <v>-2390170.46</v>
      </c>
      <c r="Q20" s="46">
        <v>5323517.68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8" t="s">
        <v>5</v>
      </c>
      <c r="M23" s="128"/>
      <c r="N23" s="12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8"/>
      <c r="M24" s="128"/>
      <c r="N24" s="12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8" t="s">
        <v>5</v>
      </c>
      <c r="M25" s="128"/>
      <c r="N25" s="12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8"/>
      <c r="M26" s="128"/>
      <c r="N26" s="12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9" t="s">
        <v>5</v>
      </c>
      <c r="L27" s="12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8" t="s">
        <v>5</v>
      </c>
      <c r="M30" s="128"/>
      <c r="N30" s="12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8"/>
      <c r="M31" s="128"/>
      <c r="N31" s="12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AJ44"/>
  <sheetViews>
    <sheetView zoomScale="70" zoomScaleNormal="70" workbookViewId="0">
      <pane xSplit="3" ySplit="4" topLeftCell="K5" activePane="bottomRight" state="frozen"/>
      <selection activeCell="M6" sqref="M6"/>
      <selection pane="topRight" activeCell="M6" sqref="M6"/>
      <selection pane="bottomLeft" activeCell="M6" sqref="M6"/>
      <selection pane="bottomRight" activeCell="Q22" sqref="Q2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4" t="s">
        <v>68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36" t="s">
        <v>53</v>
      </c>
      <c r="P1" s="52">
        <v>243269</v>
      </c>
      <c r="Q1" s="38"/>
    </row>
    <row r="2" spans="1:25" ht="54.75" customHeight="1" thickBot="1" x14ac:dyDescent="0.3">
      <c r="C2" s="115" t="s">
        <v>41</v>
      </c>
      <c r="D2" s="116" t="s">
        <v>40</v>
      </c>
      <c r="E2" s="116"/>
      <c r="F2" s="116"/>
      <c r="G2" s="116"/>
      <c r="H2" s="117" t="s">
        <v>39</v>
      </c>
      <c r="I2" s="117"/>
      <c r="J2" s="117"/>
      <c r="K2" s="118" t="s">
        <v>38</v>
      </c>
      <c r="L2" s="118"/>
      <c r="M2" s="118"/>
      <c r="N2" s="119" t="s">
        <v>57</v>
      </c>
      <c r="O2" s="134" t="s">
        <v>58</v>
      </c>
      <c r="P2" s="135" t="s">
        <v>56</v>
      </c>
      <c r="Q2" s="135" t="s">
        <v>92</v>
      </c>
    </row>
    <row r="3" spans="1:25" ht="38.25" customHeight="1" thickBot="1" x14ac:dyDescent="0.3">
      <c r="C3" s="115"/>
      <c r="D3" s="122" t="s">
        <v>36</v>
      </c>
      <c r="E3" s="122" t="s">
        <v>35</v>
      </c>
      <c r="F3" s="122" t="s">
        <v>34</v>
      </c>
      <c r="G3" s="123" t="s">
        <v>29</v>
      </c>
      <c r="H3" s="124" t="s">
        <v>33</v>
      </c>
      <c r="I3" s="115" t="s">
        <v>32</v>
      </c>
      <c r="J3" s="125" t="s">
        <v>29</v>
      </c>
      <c r="K3" s="126" t="s">
        <v>31</v>
      </c>
      <c r="L3" s="115" t="s">
        <v>30</v>
      </c>
      <c r="M3" s="120" t="s">
        <v>29</v>
      </c>
      <c r="N3" s="119"/>
      <c r="O3" s="134"/>
      <c r="P3" s="135"/>
      <c r="Q3" s="135"/>
    </row>
    <row r="4" spans="1:25" ht="36.75" customHeight="1" thickBot="1" x14ac:dyDescent="0.3">
      <c r="C4" s="140"/>
      <c r="D4" s="137"/>
      <c r="E4" s="137"/>
      <c r="F4" s="137"/>
      <c r="G4" s="138"/>
      <c r="H4" s="139"/>
      <c r="I4" s="140"/>
      <c r="J4" s="141"/>
      <c r="K4" s="142"/>
      <c r="L4" s="140"/>
      <c r="M4" s="144"/>
      <c r="N4" s="143"/>
      <c r="O4" s="131"/>
      <c r="P4" s="136"/>
      <c r="Q4" s="136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47">
        <v>2.6</v>
      </c>
      <c r="E5" s="43">
        <v>2.3199999999999998</v>
      </c>
      <c r="F5" s="43">
        <v>1.07</v>
      </c>
      <c r="G5" s="43">
        <f t="shared" ref="G5:G20" si="0">(IF(D5&lt;1.5,1,0))+(IF(E5&lt;1,1,0))+(IF(F5&lt;0.8,1,0))</f>
        <v>0</v>
      </c>
      <c r="H5" s="46">
        <v>404145640.86000001</v>
      </c>
      <c r="I5" s="46">
        <v>16382213.560000001</v>
      </c>
      <c r="J5" s="43">
        <f t="shared" ref="J5:J20" si="1">IF(I5&lt;0,1,0)+IF(H5&lt;0,1,0)</f>
        <v>0</v>
      </c>
      <c r="K5" s="45">
        <f t="shared" ref="K5:K17" si="2">SUM(I5/3)</f>
        <v>5460737.8533333335</v>
      </c>
      <c r="L5" s="41">
        <f>+H5/K5</f>
        <v>74.009346669754933</v>
      </c>
      <c r="M5" s="40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2">
        <f t="shared" ref="N5:N20" si="3">SUM(G5+J5+M5)</f>
        <v>0</v>
      </c>
      <c r="O5" s="42">
        <f>'พ.ย.65'!N5</f>
        <v>0</v>
      </c>
      <c r="P5" s="55">
        <v>38353808.899999999</v>
      </c>
      <c r="Q5" s="46">
        <v>23192592.57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47">
        <v>2.4</v>
      </c>
      <c r="E6" s="43">
        <v>2.2799999999999998</v>
      </c>
      <c r="F6" s="43">
        <v>1.37</v>
      </c>
      <c r="G6" s="43">
        <f t="shared" si="0"/>
        <v>0</v>
      </c>
      <c r="H6" s="46">
        <v>170260597.81999999</v>
      </c>
      <c r="I6" s="46">
        <v>21097668.039999999</v>
      </c>
      <c r="J6" s="43">
        <f>IF(I6&lt;0,1,0)+IF(H6&lt;0,1,0)</f>
        <v>0</v>
      </c>
      <c r="K6" s="45">
        <f t="shared" si="2"/>
        <v>7032556.0133333327</v>
      </c>
      <c r="L6" s="41">
        <f>+H6/K6</f>
        <v>24.210343649904164</v>
      </c>
      <c r="M6" s="40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2">
        <f>SUM(G6+J6+M6)</f>
        <v>0</v>
      </c>
      <c r="O6" s="42">
        <f>'พ.ย.65'!N6</f>
        <v>0</v>
      </c>
      <c r="P6" s="55">
        <v>31629533.920000002</v>
      </c>
      <c r="Q6" s="46">
        <v>44266785.57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47">
        <v>5.8</v>
      </c>
      <c r="E7" s="43">
        <v>5.49</v>
      </c>
      <c r="F7" s="43">
        <v>4.28</v>
      </c>
      <c r="G7" s="43">
        <f t="shared" si="0"/>
        <v>0</v>
      </c>
      <c r="H7" s="46">
        <v>91660087.450000003</v>
      </c>
      <c r="I7" s="46">
        <v>2455713.0699999998</v>
      </c>
      <c r="J7" s="43">
        <f t="shared" si="1"/>
        <v>0</v>
      </c>
      <c r="K7" s="45">
        <f t="shared" si="2"/>
        <v>818571.02333333332</v>
      </c>
      <c r="L7" s="41">
        <f t="shared" ref="L7:L20" si="5">+H7/K7</f>
        <v>111.975729456862</v>
      </c>
      <c r="M7" s="40">
        <f t="shared" si="4"/>
        <v>0</v>
      </c>
      <c r="N7" s="42">
        <f t="shared" si="3"/>
        <v>0</v>
      </c>
      <c r="O7" s="42">
        <f>'พ.ย.65'!N7</f>
        <v>1</v>
      </c>
      <c r="P7" s="55">
        <v>2433100.63</v>
      </c>
      <c r="Q7" s="46">
        <v>62726184.439999998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43">
        <v>16.579999999999998</v>
      </c>
      <c r="E8" s="47">
        <v>16.21</v>
      </c>
      <c r="F8" s="43">
        <v>15.2</v>
      </c>
      <c r="G8" s="43">
        <f t="shared" si="0"/>
        <v>0</v>
      </c>
      <c r="H8" s="46">
        <v>151947640.24000001</v>
      </c>
      <c r="I8" s="51">
        <v>-6968128.9299999997</v>
      </c>
      <c r="J8" s="39">
        <f t="shared" si="1"/>
        <v>1</v>
      </c>
      <c r="K8" s="48">
        <f t="shared" si="2"/>
        <v>-2322709.6433333331</v>
      </c>
      <c r="L8" s="41">
        <f t="shared" si="5"/>
        <v>-65.418267270780831</v>
      </c>
      <c r="M8" s="40">
        <f t="shared" si="4"/>
        <v>0</v>
      </c>
      <c r="N8" s="42">
        <f t="shared" si="3"/>
        <v>1</v>
      </c>
      <c r="O8" s="42">
        <f>'พ.ย.65'!N8</f>
        <v>1</v>
      </c>
      <c r="P8" s="51">
        <v>-4981112.9400000004</v>
      </c>
      <c r="Q8" s="46">
        <v>138499962.00999999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43">
        <v>5.82</v>
      </c>
      <c r="E9" s="47">
        <v>5.39</v>
      </c>
      <c r="F9" s="43">
        <v>4.13</v>
      </c>
      <c r="G9" s="43">
        <f t="shared" si="0"/>
        <v>0</v>
      </c>
      <c r="H9" s="46">
        <v>54402238.020000003</v>
      </c>
      <c r="I9" s="51">
        <v>-5929852.6699999999</v>
      </c>
      <c r="J9" s="39">
        <f t="shared" si="1"/>
        <v>1</v>
      </c>
      <c r="K9" s="48">
        <f t="shared" si="2"/>
        <v>-1976617.5566666666</v>
      </c>
      <c r="L9" s="41">
        <f t="shared" si="5"/>
        <v>-27.522895279622521</v>
      </c>
      <c r="M9" s="40">
        <f t="shared" si="4"/>
        <v>0</v>
      </c>
      <c r="N9" s="42">
        <f t="shared" si="3"/>
        <v>1</v>
      </c>
      <c r="O9" s="42">
        <f>'พ.ย.65'!N9</f>
        <v>1</v>
      </c>
      <c r="P9" s="51">
        <v>-3947725.69</v>
      </c>
      <c r="Q9" s="46">
        <v>35321403.390000001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43">
        <v>1.95</v>
      </c>
      <c r="E10" s="47">
        <v>1.8</v>
      </c>
      <c r="F10" s="47">
        <v>1.42</v>
      </c>
      <c r="G10" s="43">
        <f t="shared" si="0"/>
        <v>0</v>
      </c>
      <c r="H10" s="46">
        <v>19099028.59</v>
      </c>
      <c r="I10" s="51">
        <v>-382140.99</v>
      </c>
      <c r="J10" s="39">
        <f t="shared" si="1"/>
        <v>1</v>
      </c>
      <c r="K10" s="48">
        <f t="shared" si="2"/>
        <v>-127380.33</v>
      </c>
      <c r="L10" s="41">
        <f t="shared" si="5"/>
        <v>-149.93703180074976</v>
      </c>
      <c r="M10" s="40">
        <f t="shared" si="4"/>
        <v>0</v>
      </c>
      <c r="N10" s="42">
        <f t="shared" si="3"/>
        <v>1</v>
      </c>
      <c r="O10" s="42">
        <f>'พ.ย.65'!N10</f>
        <v>1</v>
      </c>
      <c r="P10" s="51">
        <v>-36733.919999999998</v>
      </c>
      <c r="Q10" s="46">
        <v>8407951.3200000003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43">
        <v>6.86</v>
      </c>
      <c r="E11" s="43">
        <v>6.59</v>
      </c>
      <c r="F11" s="43">
        <v>6.12</v>
      </c>
      <c r="G11" s="43">
        <f t="shared" si="0"/>
        <v>0</v>
      </c>
      <c r="H11" s="46">
        <v>262440145.08000001</v>
      </c>
      <c r="I11" s="51">
        <v>-5500017.5300000003</v>
      </c>
      <c r="J11" s="39">
        <f t="shared" si="1"/>
        <v>1</v>
      </c>
      <c r="K11" s="48">
        <f t="shared" si="2"/>
        <v>-1833339.1766666668</v>
      </c>
      <c r="L11" s="41">
        <f t="shared" si="5"/>
        <v>-143.14871378964494</v>
      </c>
      <c r="M11" s="40">
        <f t="shared" si="4"/>
        <v>0</v>
      </c>
      <c r="N11" s="42">
        <f t="shared" si="3"/>
        <v>1</v>
      </c>
      <c r="O11" s="42">
        <f>'พ.ย.65'!N11</f>
        <v>1</v>
      </c>
      <c r="P11" s="55">
        <v>8698166.1799999997</v>
      </c>
      <c r="Q11" s="46">
        <v>227165186.52000001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43">
        <v>3.37</v>
      </c>
      <c r="E12" s="43">
        <v>2.98</v>
      </c>
      <c r="F12" s="43">
        <v>2.0099999999999998</v>
      </c>
      <c r="G12" s="43">
        <f t="shared" si="0"/>
        <v>0</v>
      </c>
      <c r="H12" s="46">
        <v>36725986.219999999</v>
      </c>
      <c r="I12" s="51">
        <v>-3143326.82</v>
      </c>
      <c r="J12" s="39">
        <f t="shared" si="1"/>
        <v>1</v>
      </c>
      <c r="K12" s="48">
        <f t="shared" si="2"/>
        <v>-1047775.6066666666</v>
      </c>
      <c r="L12" s="41">
        <f t="shared" si="5"/>
        <v>-35.051385035425625</v>
      </c>
      <c r="M12" s="40">
        <f t="shared" si="4"/>
        <v>0</v>
      </c>
      <c r="N12" s="42">
        <f t="shared" si="3"/>
        <v>1</v>
      </c>
      <c r="O12" s="42">
        <f>'พ.ย.65'!N12</f>
        <v>1</v>
      </c>
      <c r="P12" s="51">
        <v>-2278130.7200000002</v>
      </c>
      <c r="Q12" s="46">
        <v>15578870.84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43">
        <v>8.2799999999999994</v>
      </c>
      <c r="E13" s="43">
        <v>8.0299999999999994</v>
      </c>
      <c r="F13" s="43">
        <v>6.43</v>
      </c>
      <c r="G13" s="43">
        <f t="shared" si="0"/>
        <v>0</v>
      </c>
      <c r="H13" s="46">
        <v>95302745.709999993</v>
      </c>
      <c r="I13" s="51">
        <v>-1447751.88</v>
      </c>
      <c r="J13" s="39">
        <f t="shared" si="1"/>
        <v>1</v>
      </c>
      <c r="K13" s="48">
        <f t="shared" si="2"/>
        <v>-482583.95999999996</v>
      </c>
      <c r="L13" s="41">
        <f t="shared" si="5"/>
        <v>-197.48427964742135</v>
      </c>
      <c r="M13" s="40">
        <f t="shared" si="4"/>
        <v>0</v>
      </c>
      <c r="N13" s="42">
        <f t="shared" si="3"/>
        <v>1</v>
      </c>
      <c r="O13" s="42">
        <f>'พ.ย.65'!N13</f>
        <v>1</v>
      </c>
      <c r="P13" s="51">
        <v>-1136223.6299999999</v>
      </c>
      <c r="Q13" s="46">
        <v>70922886.780000001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43">
        <v>6.03</v>
      </c>
      <c r="E14" s="43">
        <v>5.83</v>
      </c>
      <c r="F14" s="43">
        <v>4.83</v>
      </c>
      <c r="G14" s="43">
        <f t="shared" si="0"/>
        <v>0</v>
      </c>
      <c r="H14" s="46">
        <v>78550291.069999993</v>
      </c>
      <c r="I14" s="46">
        <v>7021204.4500000002</v>
      </c>
      <c r="J14" s="43">
        <f t="shared" si="1"/>
        <v>0</v>
      </c>
      <c r="K14" s="45">
        <f t="shared" si="2"/>
        <v>2340401.4833333334</v>
      </c>
      <c r="L14" s="41">
        <f t="shared" si="5"/>
        <v>33.562741960889625</v>
      </c>
      <c r="M14" s="40">
        <f t="shared" si="4"/>
        <v>0</v>
      </c>
      <c r="N14" s="42">
        <f t="shared" si="3"/>
        <v>0</v>
      </c>
      <c r="O14" s="42">
        <f>'พ.ย.65'!N14</f>
        <v>1</v>
      </c>
      <c r="P14" s="55">
        <v>8401079.0299999993</v>
      </c>
      <c r="Q14" s="46">
        <v>59705886.280000001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43">
        <v>7.87</v>
      </c>
      <c r="E15" s="43">
        <v>7.42</v>
      </c>
      <c r="F15" s="43">
        <v>6.37</v>
      </c>
      <c r="G15" s="43">
        <f t="shared" si="0"/>
        <v>0</v>
      </c>
      <c r="H15" s="46">
        <v>79522646.379999995</v>
      </c>
      <c r="I15" s="46">
        <v>2896438.13</v>
      </c>
      <c r="J15" s="43">
        <f t="shared" si="1"/>
        <v>0</v>
      </c>
      <c r="K15" s="45">
        <f t="shared" si="2"/>
        <v>965479.37666666659</v>
      </c>
      <c r="L15" s="41">
        <f t="shared" si="5"/>
        <v>82.365971041818867</v>
      </c>
      <c r="M15" s="40">
        <f t="shared" si="4"/>
        <v>0</v>
      </c>
      <c r="N15" s="42">
        <f t="shared" si="3"/>
        <v>0</v>
      </c>
      <c r="O15" s="42">
        <f>'พ.ย.65'!N15</f>
        <v>1</v>
      </c>
      <c r="P15" s="55">
        <v>4114046.25</v>
      </c>
      <c r="Q15" s="46">
        <v>61949551.549999997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43">
        <v>6.24</v>
      </c>
      <c r="E16" s="43">
        <v>6.02</v>
      </c>
      <c r="F16" s="43">
        <v>4.74</v>
      </c>
      <c r="G16" s="43">
        <f t="shared" si="0"/>
        <v>0</v>
      </c>
      <c r="H16" s="46">
        <v>193891202</v>
      </c>
      <c r="I16" s="46">
        <v>16189832.6</v>
      </c>
      <c r="J16" s="43">
        <f t="shared" si="1"/>
        <v>0</v>
      </c>
      <c r="K16" s="45">
        <f t="shared" si="2"/>
        <v>5396610.8666666662</v>
      </c>
      <c r="L16" s="41">
        <f t="shared" si="5"/>
        <v>35.928327387399918</v>
      </c>
      <c r="M16" s="40">
        <f t="shared" si="4"/>
        <v>0</v>
      </c>
      <c r="N16" s="42">
        <f t="shared" si="3"/>
        <v>0</v>
      </c>
      <c r="O16" s="42">
        <f>'พ.ย.65'!N16</f>
        <v>0</v>
      </c>
      <c r="P16" s="55">
        <v>17849244.370000001</v>
      </c>
      <c r="Q16" s="46">
        <v>138404101.69999999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47">
        <v>5.12</v>
      </c>
      <c r="E17" s="43">
        <v>4.92</v>
      </c>
      <c r="F17" s="43">
        <v>4.58</v>
      </c>
      <c r="G17" s="43">
        <f t="shared" si="0"/>
        <v>0</v>
      </c>
      <c r="H17" s="46">
        <v>29560036.649999999</v>
      </c>
      <c r="I17" s="46">
        <v>684407.99</v>
      </c>
      <c r="J17" s="43">
        <f t="shared" si="1"/>
        <v>0</v>
      </c>
      <c r="K17" s="45">
        <f t="shared" si="2"/>
        <v>228135.99666666667</v>
      </c>
      <c r="L17" s="41">
        <f t="shared" si="5"/>
        <v>129.57199688741213</v>
      </c>
      <c r="M17" s="40">
        <f t="shared" si="4"/>
        <v>0</v>
      </c>
      <c r="N17" s="42">
        <f t="shared" si="3"/>
        <v>0</v>
      </c>
      <c r="O17" s="42">
        <f>'พ.ย.65'!N17</f>
        <v>1</v>
      </c>
      <c r="P17" s="55">
        <v>858208.94</v>
      </c>
      <c r="Q17" s="46">
        <v>25684746.93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47">
        <v>14.17</v>
      </c>
      <c r="E18" s="43">
        <v>13.98</v>
      </c>
      <c r="F18" s="43">
        <v>12.93</v>
      </c>
      <c r="G18" s="43">
        <f t="shared" si="0"/>
        <v>0</v>
      </c>
      <c r="H18" s="46">
        <v>218891448.96000001</v>
      </c>
      <c r="I18" s="46">
        <v>1603579.75</v>
      </c>
      <c r="J18" s="43">
        <f t="shared" si="1"/>
        <v>0</v>
      </c>
      <c r="K18" s="45">
        <f>SUM(I18/3)</f>
        <v>534526.58333333337</v>
      </c>
      <c r="L18" s="41">
        <f t="shared" si="5"/>
        <v>409.50526275977228</v>
      </c>
      <c r="M18" s="40">
        <f t="shared" si="4"/>
        <v>0</v>
      </c>
      <c r="N18" s="42">
        <f t="shared" si="3"/>
        <v>0</v>
      </c>
      <c r="O18" s="42">
        <f>'พ.ย.65'!N18</f>
        <v>1</v>
      </c>
      <c r="P18" s="55">
        <v>2651830.4900000002</v>
      </c>
      <c r="Q18" s="46">
        <v>198376499.25999999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43">
        <v>3.29</v>
      </c>
      <c r="E19" s="43">
        <v>3.03</v>
      </c>
      <c r="F19" s="43">
        <v>1.69</v>
      </c>
      <c r="G19" s="43">
        <f t="shared" si="0"/>
        <v>0</v>
      </c>
      <c r="H19" s="46">
        <v>25690939.309999999</v>
      </c>
      <c r="I19" s="51">
        <v>-2963820.92</v>
      </c>
      <c r="J19" s="39">
        <f t="shared" si="1"/>
        <v>1</v>
      </c>
      <c r="K19" s="48">
        <f>SUM(I19/3)</f>
        <v>-987940.30666666664</v>
      </c>
      <c r="L19" s="41">
        <f t="shared" si="5"/>
        <v>-26.004546161986063</v>
      </c>
      <c r="M19" s="40">
        <f t="shared" si="4"/>
        <v>0</v>
      </c>
      <c r="N19" s="42">
        <f t="shared" si="3"/>
        <v>1</v>
      </c>
      <c r="O19" s="42">
        <f>'พ.ย.65'!N19</f>
        <v>1</v>
      </c>
      <c r="P19" s="51">
        <v>-2223230.71</v>
      </c>
      <c r="Q19" s="46">
        <v>7787063.5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43">
        <v>3.21</v>
      </c>
      <c r="E20" s="43">
        <v>2.98</v>
      </c>
      <c r="F20" s="47">
        <v>2.2000000000000002</v>
      </c>
      <c r="G20" s="43">
        <f t="shared" si="0"/>
        <v>0</v>
      </c>
      <c r="H20" s="46">
        <v>15392675.66</v>
      </c>
      <c r="I20" s="51">
        <v>-533822.68000000005</v>
      </c>
      <c r="J20" s="39">
        <f t="shared" si="1"/>
        <v>1</v>
      </c>
      <c r="K20" s="48">
        <f>SUM(I20/3)</f>
        <v>-177940.89333333334</v>
      </c>
      <c r="L20" s="41">
        <f t="shared" si="5"/>
        <v>-86.504430609804743</v>
      </c>
      <c r="M20" s="40">
        <f t="shared" si="4"/>
        <v>0</v>
      </c>
      <c r="N20" s="42">
        <f t="shared" si="3"/>
        <v>1</v>
      </c>
      <c r="O20" s="42">
        <f>'พ.ย.65'!N20</f>
        <v>1</v>
      </c>
      <c r="P20" s="55">
        <v>439057.47</v>
      </c>
      <c r="Q20" s="46">
        <v>8335663.0700000003</v>
      </c>
      <c r="S20" s="8"/>
      <c r="V20" s="9"/>
      <c r="W20" s="10"/>
      <c r="X20" s="10"/>
      <c r="Y20" s="9"/>
    </row>
    <row r="21" spans="1:25" ht="20.25" customHeight="1" x14ac:dyDescent="0.35">
      <c r="C21" s="11"/>
      <c r="D21" s="11"/>
      <c r="E21" s="11"/>
      <c r="F21" s="11"/>
      <c r="G21" s="11"/>
      <c r="H21" s="86">
        <f>SUM(H5:H20)</f>
        <v>1927483350.0200002</v>
      </c>
      <c r="I21" s="86">
        <f t="shared" ref="I21:P21" si="6">SUM(I5:I20)</f>
        <v>41462195.170000002</v>
      </c>
      <c r="J21" s="86">
        <f t="shared" si="6"/>
        <v>8</v>
      </c>
      <c r="K21" s="86">
        <f t="shared" si="6"/>
        <v>13820731.723333335</v>
      </c>
      <c r="L21" s="86">
        <f t="shared" si="6"/>
        <v>170.05817021837805</v>
      </c>
      <c r="M21" s="86">
        <f t="shared" si="6"/>
        <v>0</v>
      </c>
      <c r="N21" s="86">
        <f t="shared" si="6"/>
        <v>8</v>
      </c>
      <c r="O21" s="86">
        <f t="shared" si="6"/>
        <v>13</v>
      </c>
      <c r="P21" s="86">
        <f t="shared" si="6"/>
        <v>100824918.56999999</v>
      </c>
      <c r="Q21" s="86">
        <f>SUM(Q5:Q20)</f>
        <v>1126325335.7299998</v>
      </c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8" t="s">
        <v>5</v>
      </c>
      <c r="M23" s="128"/>
      <c r="N23" s="12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8"/>
      <c r="M24" s="128"/>
      <c r="N24" s="12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8" t="s">
        <v>5</v>
      </c>
      <c r="M25" s="128"/>
      <c r="N25" s="12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8"/>
      <c r="M26" s="128"/>
      <c r="N26" s="12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9" t="s">
        <v>5</v>
      </c>
      <c r="L27" s="12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8" t="s">
        <v>5</v>
      </c>
      <c r="M30" s="128"/>
      <c r="N30" s="12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8"/>
      <c r="M31" s="128"/>
      <c r="N31" s="12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P5" sqref="P5:P2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4" t="s">
        <v>69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36" t="s">
        <v>53</v>
      </c>
      <c r="P1" s="52">
        <v>243300</v>
      </c>
      <c r="Q1" s="38"/>
    </row>
    <row r="2" spans="1:25" ht="54.75" customHeight="1" thickBot="1" x14ac:dyDescent="0.3">
      <c r="C2" s="115" t="s">
        <v>41</v>
      </c>
      <c r="D2" s="116" t="s">
        <v>40</v>
      </c>
      <c r="E2" s="116"/>
      <c r="F2" s="116"/>
      <c r="G2" s="116"/>
      <c r="H2" s="117" t="s">
        <v>39</v>
      </c>
      <c r="I2" s="117"/>
      <c r="J2" s="117"/>
      <c r="K2" s="118" t="s">
        <v>38</v>
      </c>
      <c r="L2" s="118"/>
      <c r="M2" s="118"/>
      <c r="N2" s="145" t="s">
        <v>70</v>
      </c>
      <c r="O2" s="134" t="s">
        <v>71</v>
      </c>
      <c r="P2" s="134" t="s">
        <v>56</v>
      </c>
      <c r="Q2" s="121" t="s">
        <v>37</v>
      </c>
    </row>
    <row r="3" spans="1:25" ht="38.25" customHeight="1" thickBot="1" x14ac:dyDescent="0.3">
      <c r="C3" s="115"/>
      <c r="D3" s="115" t="s">
        <v>36</v>
      </c>
      <c r="E3" s="115" t="s">
        <v>35</v>
      </c>
      <c r="F3" s="115" t="s">
        <v>34</v>
      </c>
      <c r="G3" s="123" t="s">
        <v>29</v>
      </c>
      <c r="H3" s="124" t="s">
        <v>33</v>
      </c>
      <c r="I3" s="115" t="s">
        <v>32</v>
      </c>
      <c r="J3" s="125" t="s">
        <v>29</v>
      </c>
      <c r="K3" s="126" t="s">
        <v>31</v>
      </c>
      <c r="L3" s="115" t="s">
        <v>30</v>
      </c>
      <c r="M3" s="120" t="s">
        <v>29</v>
      </c>
      <c r="N3" s="145"/>
      <c r="O3" s="134"/>
      <c r="P3" s="134"/>
      <c r="Q3" s="121"/>
    </row>
    <row r="4" spans="1:25" ht="36.75" customHeight="1" thickBot="1" x14ac:dyDescent="0.3">
      <c r="C4" s="115"/>
      <c r="D4" s="115"/>
      <c r="E4" s="115"/>
      <c r="F4" s="115"/>
      <c r="G4" s="123"/>
      <c r="H4" s="124"/>
      <c r="I4" s="115"/>
      <c r="J4" s="125"/>
      <c r="K4" s="126"/>
      <c r="L4" s="115"/>
      <c r="M4" s="120"/>
      <c r="N4" s="145"/>
      <c r="O4" s="134"/>
      <c r="P4" s="134"/>
      <c r="Q4" s="121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43">
        <v>2.61</v>
      </c>
      <c r="E5" s="43">
        <v>2.38</v>
      </c>
      <c r="F5" s="43">
        <v>1.29</v>
      </c>
      <c r="G5" s="43">
        <f t="shared" ref="G5:G20" si="0">(IF(D5&lt;1.5,1,0))+(IF(E5&lt;1,1,0))+(IF(F5&lt;0.8,1,0))</f>
        <v>0</v>
      </c>
      <c r="H5" s="46">
        <v>445396550.20999998</v>
      </c>
      <c r="I5" s="46">
        <v>42987066.350000001</v>
      </c>
      <c r="J5" s="43">
        <f t="shared" ref="J5:J20" si="1">IF(I5&lt;0,1,0)+IF(H5&lt;0,1,0)</f>
        <v>0</v>
      </c>
      <c r="K5" s="45">
        <f t="shared" ref="K5:K20" si="2">SUM(I5/4)</f>
        <v>10746766.5875</v>
      </c>
      <c r="L5" s="41">
        <f>+H5/K5</f>
        <v>41.444703072648728</v>
      </c>
      <c r="M5" s="40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2">
        <f>SUM(G5+J5+M5)</f>
        <v>0</v>
      </c>
      <c r="O5" s="42">
        <f>'ธ.ค.65'!N5</f>
        <v>0</v>
      </c>
      <c r="P5" s="55">
        <v>43940375.75</v>
      </c>
      <c r="Q5" s="46">
        <v>79198268.219999999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43">
        <v>2.15</v>
      </c>
      <c r="E6" s="43">
        <v>2.04</v>
      </c>
      <c r="F6" s="43">
        <v>1.35</v>
      </c>
      <c r="G6" s="43">
        <f>(IF(D6&lt;1.5,1,0))+(IF(E6&lt;1,1,0))+(IF(F6&lt;0.8,1,0))</f>
        <v>0</v>
      </c>
      <c r="H6" s="46">
        <v>150418522.38</v>
      </c>
      <c r="I6" s="46">
        <v>5106416.88</v>
      </c>
      <c r="J6" s="43">
        <f>IF(I6&lt;0,1,0)+IF(H6&lt;0,1,0)</f>
        <v>0</v>
      </c>
      <c r="K6" s="45">
        <f t="shared" si="2"/>
        <v>1276604.22</v>
      </c>
      <c r="L6" s="41">
        <f>+H6/K6</f>
        <v>117.82706027714681</v>
      </c>
      <c r="M6" s="43">
        <f t="shared" ref="M6:M20" si="3">IF(AND(I6&lt;0,H6&lt;0),2,IF(AND(I6&gt;0,H6&gt;0),0,IF(AND(H6&lt;0,I6&gt;0),IF(ABS((H6/(I6/4)))&lt;3,0,IF(ABS((H6/(I6/4)))&gt;6,2,1)),IF(AND(H6&gt;0,I6&lt;0),IF(ABS((H6/(I6/4)))&lt;3,2,IF(ABS((H6/(I6/4)))&gt;6,0,1))))))</f>
        <v>0</v>
      </c>
      <c r="N6" s="42">
        <f t="shared" ref="N6:N8" si="4">SUM(G6+J6+M6)</f>
        <v>0</v>
      </c>
      <c r="O6" s="42">
        <f>'ธ.ค.65'!N6</f>
        <v>0</v>
      </c>
      <c r="P6" s="55">
        <v>19289078.34</v>
      </c>
      <c r="Q6" s="46">
        <v>46056466.619999997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43">
        <v>5.16</v>
      </c>
      <c r="E7" s="43">
        <v>4.92</v>
      </c>
      <c r="F7" s="47">
        <v>3.8</v>
      </c>
      <c r="G7" s="43">
        <f t="shared" si="0"/>
        <v>0</v>
      </c>
      <c r="H7" s="46">
        <v>95579889</v>
      </c>
      <c r="I7" s="46">
        <v>7240186.3399999999</v>
      </c>
      <c r="J7" s="43">
        <f t="shared" si="1"/>
        <v>0</v>
      </c>
      <c r="K7" s="45">
        <f t="shared" si="2"/>
        <v>1810046.585</v>
      </c>
      <c r="L7" s="41">
        <f t="shared" ref="L7:L20" si="5">+H7/K7</f>
        <v>52.805209430562805</v>
      </c>
      <c r="M7" s="40">
        <f t="shared" si="3"/>
        <v>0</v>
      </c>
      <c r="N7" s="42">
        <f t="shared" si="4"/>
        <v>0</v>
      </c>
      <c r="O7" s="42">
        <f>'ธ.ค.65'!N7</f>
        <v>0</v>
      </c>
      <c r="P7" s="55">
        <v>7506964.2800000003</v>
      </c>
      <c r="Q7" s="46">
        <v>64437028.75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47">
        <v>11.9</v>
      </c>
      <c r="E8" s="43">
        <v>11.65</v>
      </c>
      <c r="F8" s="43">
        <v>11.16</v>
      </c>
      <c r="G8" s="43">
        <f t="shared" si="0"/>
        <v>0</v>
      </c>
      <c r="H8" s="46">
        <v>160921809.53</v>
      </c>
      <c r="I8" s="46">
        <v>1159761.3700000001</v>
      </c>
      <c r="J8" s="43">
        <f t="shared" si="1"/>
        <v>0</v>
      </c>
      <c r="K8" s="45">
        <f t="shared" si="2"/>
        <v>289940.34250000003</v>
      </c>
      <c r="L8" s="41">
        <f t="shared" si="5"/>
        <v>555.01696708522024</v>
      </c>
      <c r="M8" s="40">
        <f t="shared" si="3"/>
        <v>0</v>
      </c>
      <c r="N8" s="42">
        <f t="shared" si="4"/>
        <v>0</v>
      </c>
      <c r="O8" s="42">
        <f>'ธ.ค.65'!N8</f>
        <v>1</v>
      </c>
      <c r="P8" s="55">
        <v>3030097.28</v>
      </c>
      <c r="Q8" s="46">
        <v>150014383.72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47">
        <v>4.2</v>
      </c>
      <c r="E9" s="43">
        <v>3.96</v>
      </c>
      <c r="F9" s="47">
        <v>3.3</v>
      </c>
      <c r="G9" s="43">
        <f t="shared" si="0"/>
        <v>0</v>
      </c>
      <c r="H9" s="46">
        <v>58030547.719999999</v>
      </c>
      <c r="I9" s="51">
        <v>-1801353.14</v>
      </c>
      <c r="J9" s="39">
        <f t="shared" si="1"/>
        <v>1</v>
      </c>
      <c r="K9" s="48">
        <f t="shared" si="2"/>
        <v>-450338.28499999997</v>
      </c>
      <c r="L9" s="41">
        <f t="shared" si="5"/>
        <v>-128.85990299492303</v>
      </c>
      <c r="M9" s="40">
        <f t="shared" si="3"/>
        <v>0</v>
      </c>
      <c r="N9" s="42">
        <f t="shared" ref="N9:N20" si="6">SUM(G9+J9+M9)</f>
        <v>1</v>
      </c>
      <c r="O9" s="42">
        <f>'ธ.ค.65'!N9</f>
        <v>1</v>
      </c>
      <c r="P9" s="55">
        <v>882064.01</v>
      </c>
      <c r="Q9" s="46">
        <v>41717010.399999999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43">
        <v>1.94</v>
      </c>
      <c r="E10" s="47">
        <v>1.8</v>
      </c>
      <c r="F10" s="43">
        <v>1.49</v>
      </c>
      <c r="G10" s="43">
        <f t="shared" si="0"/>
        <v>0</v>
      </c>
      <c r="H10" s="46">
        <v>19370234.629999999</v>
      </c>
      <c r="I10" s="51">
        <v>-144703.29</v>
      </c>
      <c r="J10" s="39">
        <f t="shared" si="1"/>
        <v>1</v>
      </c>
      <c r="K10" s="48">
        <f t="shared" si="2"/>
        <v>-36175.822500000002</v>
      </c>
      <c r="L10" s="41">
        <f t="shared" si="5"/>
        <v>-535.44697235287458</v>
      </c>
      <c r="M10" s="40">
        <f t="shared" si="3"/>
        <v>0</v>
      </c>
      <c r="N10" s="42">
        <f t="shared" si="6"/>
        <v>1</v>
      </c>
      <c r="O10" s="42">
        <f>'ธ.ค.65'!N10</f>
        <v>1</v>
      </c>
      <c r="P10" s="55">
        <v>454622.11</v>
      </c>
      <c r="Q10" s="46">
        <v>9944948.8399999999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43">
        <v>5.94</v>
      </c>
      <c r="E11" s="43">
        <v>5.73</v>
      </c>
      <c r="F11" s="43">
        <v>5.33</v>
      </c>
      <c r="G11" s="43">
        <f t="shared" si="0"/>
        <v>0</v>
      </c>
      <c r="H11" s="46">
        <v>273142520.29000002</v>
      </c>
      <c r="I11" s="51">
        <v>-4324785.1100000003</v>
      </c>
      <c r="J11" s="39">
        <f t="shared" si="1"/>
        <v>1</v>
      </c>
      <c r="K11" s="48">
        <f t="shared" si="2"/>
        <v>-1081196.2775000001</v>
      </c>
      <c r="L11" s="41">
        <f t="shared" si="5"/>
        <v>-252.62991186167861</v>
      </c>
      <c r="M11" s="40">
        <f t="shared" si="3"/>
        <v>0</v>
      </c>
      <c r="N11" s="42">
        <f t="shared" si="6"/>
        <v>1</v>
      </c>
      <c r="O11" s="42">
        <f>'ธ.ค.65'!N11</f>
        <v>1</v>
      </c>
      <c r="P11" s="55">
        <v>17861793.170000002</v>
      </c>
      <c r="Q11" s="46">
        <v>237083989.56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43">
        <v>4.1500000000000004</v>
      </c>
      <c r="E12" s="43">
        <v>3.81</v>
      </c>
      <c r="F12" s="43">
        <v>3.02</v>
      </c>
      <c r="G12" s="43">
        <f t="shared" si="0"/>
        <v>0</v>
      </c>
      <c r="H12" s="46">
        <v>54783517.869999997</v>
      </c>
      <c r="I12" s="46">
        <v>11335362.310000001</v>
      </c>
      <c r="J12" s="43">
        <f t="shared" si="1"/>
        <v>0</v>
      </c>
      <c r="K12" s="45">
        <f t="shared" si="2"/>
        <v>2833840.5775000001</v>
      </c>
      <c r="L12" s="41">
        <f t="shared" si="5"/>
        <v>19.331898309653585</v>
      </c>
      <c r="M12" s="40">
        <f t="shared" si="3"/>
        <v>0</v>
      </c>
      <c r="N12" s="42">
        <f t="shared" si="6"/>
        <v>0</v>
      </c>
      <c r="O12" s="42">
        <f>'ธ.ค.65'!N12</f>
        <v>1</v>
      </c>
      <c r="P12" s="55">
        <v>11603478.630000001</v>
      </c>
      <c r="Q12" s="46">
        <v>35181275.899999999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47">
        <v>6.5</v>
      </c>
      <c r="E13" s="43">
        <v>6.34</v>
      </c>
      <c r="F13" s="43">
        <v>5.52</v>
      </c>
      <c r="G13" s="43">
        <f t="shared" si="0"/>
        <v>0</v>
      </c>
      <c r="H13" s="46">
        <v>95582676.209999993</v>
      </c>
      <c r="I13" s="46">
        <v>844629.88</v>
      </c>
      <c r="J13" s="43">
        <f t="shared" si="1"/>
        <v>0</v>
      </c>
      <c r="K13" s="45">
        <f t="shared" si="2"/>
        <v>211157.47</v>
      </c>
      <c r="L13" s="41">
        <f t="shared" si="5"/>
        <v>452.66064331041662</v>
      </c>
      <c r="M13" s="40">
        <f t="shared" si="3"/>
        <v>0</v>
      </c>
      <c r="N13" s="42">
        <f t="shared" si="6"/>
        <v>0</v>
      </c>
      <c r="O13" s="42">
        <f>'ธ.ค.65'!N13</f>
        <v>1</v>
      </c>
      <c r="P13" s="55">
        <v>1593262.44</v>
      </c>
      <c r="Q13" s="46">
        <v>78440016.129999995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43">
        <v>6.14</v>
      </c>
      <c r="E14" s="43">
        <v>5.92</v>
      </c>
      <c r="F14" s="43">
        <v>4.93</v>
      </c>
      <c r="G14" s="43">
        <f t="shared" si="0"/>
        <v>0</v>
      </c>
      <c r="H14" s="46">
        <v>80018386.859999999</v>
      </c>
      <c r="I14" s="46">
        <v>9000188.3699999992</v>
      </c>
      <c r="J14" s="43">
        <f t="shared" si="1"/>
        <v>0</v>
      </c>
      <c r="K14" s="45">
        <f t="shared" si="2"/>
        <v>2250047.0924999998</v>
      </c>
      <c r="L14" s="41">
        <f t="shared" si="5"/>
        <v>35.562983160095797</v>
      </c>
      <c r="M14" s="40">
        <f t="shared" si="3"/>
        <v>0</v>
      </c>
      <c r="N14" s="42">
        <f t="shared" si="6"/>
        <v>0</v>
      </c>
      <c r="O14" s="42">
        <f>'ธ.ค.65'!N14</f>
        <v>0</v>
      </c>
      <c r="P14" s="55">
        <v>11059687.810000001</v>
      </c>
      <c r="Q14" s="46">
        <v>61160462.869999997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43">
        <v>7.53</v>
      </c>
      <c r="E15" s="43">
        <v>7.11</v>
      </c>
      <c r="F15" s="47">
        <v>6.4</v>
      </c>
      <c r="G15" s="43">
        <f t="shared" si="0"/>
        <v>0</v>
      </c>
      <c r="H15" s="46">
        <v>83960277.019999996</v>
      </c>
      <c r="I15" s="46">
        <v>8454191.0700000003</v>
      </c>
      <c r="J15" s="43">
        <f t="shared" si="1"/>
        <v>0</v>
      </c>
      <c r="K15" s="45">
        <f t="shared" si="2"/>
        <v>2113547.7675000001</v>
      </c>
      <c r="L15" s="41">
        <f t="shared" si="5"/>
        <v>39.72480693886186</v>
      </c>
      <c r="M15" s="40">
        <f t="shared" si="3"/>
        <v>0</v>
      </c>
      <c r="N15" s="42">
        <f t="shared" si="6"/>
        <v>0</v>
      </c>
      <c r="O15" s="42">
        <f>'ธ.ค.65'!N15</f>
        <v>0</v>
      </c>
      <c r="P15" s="55">
        <v>10222184.32</v>
      </c>
      <c r="Q15" s="46">
        <v>69249005.560000002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47">
        <v>6.32</v>
      </c>
      <c r="E16" s="43">
        <v>6.11</v>
      </c>
      <c r="F16" s="43">
        <v>5.21</v>
      </c>
      <c r="G16" s="43">
        <f t="shared" si="0"/>
        <v>0</v>
      </c>
      <c r="H16" s="46">
        <v>190670481.21000001</v>
      </c>
      <c r="I16" s="46">
        <v>27302987.059999999</v>
      </c>
      <c r="J16" s="43">
        <f t="shared" si="1"/>
        <v>0</v>
      </c>
      <c r="K16" s="45">
        <f t="shared" si="2"/>
        <v>6825746.7649999997</v>
      </c>
      <c r="L16" s="41">
        <f t="shared" si="5"/>
        <v>27.934010412998383</v>
      </c>
      <c r="M16" s="40">
        <f t="shared" si="3"/>
        <v>0</v>
      </c>
      <c r="N16" s="42">
        <f t="shared" si="6"/>
        <v>0</v>
      </c>
      <c r="O16" s="42">
        <f>'ธ.ค.65'!N16</f>
        <v>0</v>
      </c>
      <c r="P16" s="55">
        <v>30441738.559999999</v>
      </c>
      <c r="Q16" s="46">
        <v>150814763.15000001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47">
        <v>4.6100000000000003</v>
      </c>
      <c r="E17" s="47">
        <v>4.43</v>
      </c>
      <c r="F17" s="43">
        <v>4.21</v>
      </c>
      <c r="G17" s="43">
        <f t="shared" si="0"/>
        <v>0</v>
      </c>
      <c r="H17" s="46">
        <v>31280046.010000002</v>
      </c>
      <c r="I17" s="46">
        <v>2195976.92</v>
      </c>
      <c r="J17" s="43">
        <f t="shared" si="1"/>
        <v>0</v>
      </c>
      <c r="K17" s="45">
        <f t="shared" si="2"/>
        <v>548994.23</v>
      </c>
      <c r="L17" s="41">
        <f t="shared" si="5"/>
        <v>56.977003219141309</v>
      </c>
      <c r="M17" s="40">
        <f t="shared" si="3"/>
        <v>0</v>
      </c>
      <c r="N17" s="42">
        <f t="shared" si="6"/>
        <v>0</v>
      </c>
      <c r="O17" s="42">
        <f>'ธ.ค.65'!N17</f>
        <v>0</v>
      </c>
      <c r="P17" s="55">
        <v>2621584.15</v>
      </c>
      <c r="Q17" s="46">
        <v>27769858.559999999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43">
        <v>13.13</v>
      </c>
      <c r="E18" s="43">
        <v>12.98</v>
      </c>
      <c r="F18" s="43">
        <v>12.18</v>
      </c>
      <c r="G18" s="43">
        <f t="shared" si="0"/>
        <v>0</v>
      </c>
      <c r="H18" s="46">
        <v>222961187.61000001</v>
      </c>
      <c r="I18" s="46">
        <v>3939276.97</v>
      </c>
      <c r="J18" s="43">
        <f t="shared" si="1"/>
        <v>0</v>
      </c>
      <c r="K18" s="45">
        <f t="shared" si="2"/>
        <v>984819.24250000005</v>
      </c>
      <c r="L18" s="41">
        <f t="shared" si="5"/>
        <v>226.39808199117311</v>
      </c>
      <c r="M18" s="40">
        <f t="shared" si="3"/>
        <v>0</v>
      </c>
      <c r="N18" s="42">
        <f t="shared" si="6"/>
        <v>0</v>
      </c>
      <c r="O18" s="42">
        <f>'ธ.ค.65'!N18</f>
        <v>0</v>
      </c>
      <c r="P18" s="55">
        <v>5961428.7800000003</v>
      </c>
      <c r="Q18" s="46">
        <v>205511223.75999999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43">
        <v>2.97</v>
      </c>
      <c r="E19" s="43">
        <v>2.73</v>
      </c>
      <c r="F19" s="43">
        <v>1.84</v>
      </c>
      <c r="G19" s="43">
        <f t="shared" si="0"/>
        <v>0</v>
      </c>
      <c r="H19" s="46">
        <v>25199394.039999999</v>
      </c>
      <c r="I19" s="51">
        <v>-621759.05000000005</v>
      </c>
      <c r="J19" s="39">
        <f t="shared" si="1"/>
        <v>1</v>
      </c>
      <c r="K19" s="48">
        <f t="shared" si="2"/>
        <v>-155439.76250000001</v>
      </c>
      <c r="L19" s="41">
        <f t="shared" si="5"/>
        <v>-162.11678166968377</v>
      </c>
      <c r="M19" s="40">
        <f t="shared" si="3"/>
        <v>0</v>
      </c>
      <c r="N19" s="42">
        <f t="shared" si="6"/>
        <v>1</v>
      </c>
      <c r="O19" s="42">
        <f>'ธ.ค.65'!N19</f>
        <v>1</v>
      </c>
      <c r="P19" s="55">
        <v>482239.52</v>
      </c>
      <c r="Q19" s="46">
        <v>10672007.02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43">
        <v>3.19</v>
      </c>
      <c r="E20" s="43">
        <v>2.98</v>
      </c>
      <c r="F20" s="43">
        <v>2.36</v>
      </c>
      <c r="G20" s="43">
        <f t="shared" si="0"/>
        <v>0</v>
      </c>
      <c r="H20" s="46">
        <v>15225230.26</v>
      </c>
      <c r="I20" s="46">
        <v>507687.92</v>
      </c>
      <c r="J20" s="43">
        <f t="shared" si="1"/>
        <v>0</v>
      </c>
      <c r="K20" s="45">
        <f t="shared" si="2"/>
        <v>126921.98</v>
      </c>
      <c r="L20" s="41">
        <f t="shared" si="5"/>
        <v>119.95739634695268</v>
      </c>
      <c r="M20" s="40">
        <f t="shared" si="3"/>
        <v>0</v>
      </c>
      <c r="N20" s="42">
        <f t="shared" si="6"/>
        <v>0</v>
      </c>
      <c r="O20" s="42">
        <f>'ธ.ค.65'!N20</f>
        <v>1</v>
      </c>
      <c r="P20" s="55">
        <v>1850084.43</v>
      </c>
      <c r="Q20" s="46">
        <v>9467240.6300000008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5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56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8" t="s">
        <v>5</v>
      </c>
      <c r="M23" s="128"/>
      <c r="N23" s="12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8"/>
      <c r="M24" s="128"/>
      <c r="N24" s="12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8" t="s">
        <v>5</v>
      </c>
      <c r="M25" s="128"/>
      <c r="N25" s="12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8"/>
      <c r="M26" s="128"/>
      <c r="N26" s="12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9" t="s">
        <v>5</v>
      </c>
      <c r="L27" s="12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8" t="s">
        <v>5</v>
      </c>
      <c r="M30" s="128"/>
      <c r="N30" s="12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8"/>
      <c r="M31" s="128"/>
      <c r="N31" s="12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ellIs" dxfId="16" priority="1" operator="greaterThan">
      <formula>0.5</formula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Q1" sqref="Q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4" t="s">
        <v>72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P1" s="54" t="s">
        <v>53</v>
      </c>
      <c r="Q1" s="38">
        <v>44998</v>
      </c>
    </row>
    <row r="2" spans="1:25" ht="54.75" customHeight="1" thickBot="1" x14ac:dyDescent="0.3">
      <c r="C2" s="115" t="s">
        <v>41</v>
      </c>
      <c r="D2" s="116" t="s">
        <v>40</v>
      </c>
      <c r="E2" s="116"/>
      <c r="F2" s="116"/>
      <c r="G2" s="116"/>
      <c r="H2" s="117" t="s">
        <v>39</v>
      </c>
      <c r="I2" s="117"/>
      <c r="J2" s="117"/>
      <c r="K2" s="118" t="s">
        <v>38</v>
      </c>
      <c r="L2" s="118"/>
      <c r="M2" s="118"/>
      <c r="N2" s="119" t="s">
        <v>73</v>
      </c>
      <c r="O2" s="134" t="s">
        <v>74</v>
      </c>
      <c r="P2" s="134" t="s">
        <v>56</v>
      </c>
      <c r="Q2" s="121" t="s">
        <v>61</v>
      </c>
    </row>
    <row r="3" spans="1:25" ht="38.25" customHeight="1" thickBot="1" x14ac:dyDescent="0.3">
      <c r="C3" s="115"/>
      <c r="D3" s="122" t="s">
        <v>36</v>
      </c>
      <c r="E3" s="122" t="s">
        <v>35</v>
      </c>
      <c r="F3" s="122" t="s">
        <v>34</v>
      </c>
      <c r="G3" s="123" t="s">
        <v>29</v>
      </c>
      <c r="H3" s="124" t="s">
        <v>33</v>
      </c>
      <c r="I3" s="115" t="s">
        <v>32</v>
      </c>
      <c r="J3" s="125" t="s">
        <v>29</v>
      </c>
      <c r="K3" s="126" t="s">
        <v>31</v>
      </c>
      <c r="L3" s="115" t="s">
        <v>30</v>
      </c>
      <c r="M3" s="120" t="s">
        <v>29</v>
      </c>
      <c r="N3" s="119"/>
      <c r="O3" s="134"/>
      <c r="P3" s="134"/>
      <c r="Q3" s="121"/>
    </row>
    <row r="4" spans="1:25" ht="36.75" customHeight="1" thickBot="1" x14ac:dyDescent="0.3">
      <c r="C4" s="115"/>
      <c r="D4" s="122"/>
      <c r="E4" s="122"/>
      <c r="F4" s="122"/>
      <c r="G4" s="123"/>
      <c r="H4" s="124"/>
      <c r="I4" s="115"/>
      <c r="J4" s="125"/>
      <c r="K4" s="126"/>
      <c r="L4" s="115"/>
      <c r="M4" s="120"/>
      <c r="N4" s="119"/>
      <c r="O4" s="134"/>
      <c r="P4" s="134"/>
      <c r="Q4" s="121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43">
        <v>2.65</v>
      </c>
      <c r="E5" s="43">
        <v>2.41</v>
      </c>
      <c r="F5" s="43">
        <v>1.21</v>
      </c>
      <c r="G5" s="43">
        <f t="shared" ref="G5:G20" si="0">(IF(D5&lt;1.5,1,0))+(IF(E5&lt;1,1,0))+(IF(F5&lt;0.8,1,0))</f>
        <v>0</v>
      </c>
      <c r="H5" s="46">
        <v>424376006.29000002</v>
      </c>
      <c r="I5" s="46">
        <v>15715918.300000001</v>
      </c>
      <c r="J5" s="43">
        <f t="shared" ref="J5:J20" si="1">IF(I5&lt;0,1,0)+IF(H5&lt;0,1,0)</f>
        <v>0</v>
      </c>
      <c r="K5" s="45">
        <f t="shared" ref="K5:K20" si="2">SUM(I5/5)</f>
        <v>3143183.66</v>
      </c>
      <c r="L5" s="41">
        <f>+H5/K5</f>
        <v>135.01470235118236</v>
      </c>
      <c r="M5" s="40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2">
        <f t="shared" ref="N5:N20" si="3">SUM(G5+J5+M5)</f>
        <v>0</v>
      </c>
      <c r="O5" s="42">
        <f>'ม.ค.66'!N5</f>
        <v>0</v>
      </c>
      <c r="P5" s="55">
        <v>25814609.059999999</v>
      </c>
      <c r="Q5" s="46">
        <v>55194398.479999997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43">
        <v>2.2400000000000002</v>
      </c>
      <c r="E6" s="47">
        <v>2.13</v>
      </c>
      <c r="F6" s="43">
        <v>1.35</v>
      </c>
      <c r="G6" s="43">
        <f t="shared" si="0"/>
        <v>0</v>
      </c>
      <c r="H6" s="46">
        <v>148025120.37</v>
      </c>
      <c r="I6" s="46">
        <v>14331870.75</v>
      </c>
      <c r="J6" s="43">
        <f>IF(I6&lt;0,1,0)+IF(H6&lt;0,1,0)</f>
        <v>0</v>
      </c>
      <c r="K6" s="45">
        <f t="shared" si="2"/>
        <v>2866374.15</v>
      </c>
      <c r="L6" s="41">
        <f>+H6/K6</f>
        <v>51.641939476045025</v>
      </c>
      <c r="M6" s="43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2">
        <f>SUM(G6+J6+M6)</f>
        <v>0</v>
      </c>
      <c r="O6" s="42">
        <f>'ม.ค.66'!N6</f>
        <v>0</v>
      </c>
      <c r="P6" s="55">
        <v>27818522.75</v>
      </c>
      <c r="Q6" s="46">
        <v>41639835.020000003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47">
        <v>5.39</v>
      </c>
      <c r="E7" s="43">
        <v>5.18</v>
      </c>
      <c r="F7" s="43">
        <v>3.96</v>
      </c>
      <c r="G7" s="43">
        <f t="shared" si="0"/>
        <v>0</v>
      </c>
      <c r="H7" s="46">
        <v>91295100.780000001</v>
      </c>
      <c r="I7" s="46">
        <v>3975549.18</v>
      </c>
      <c r="J7" s="43">
        <f t="shared" si="1"/>
        <v>0</v>
      </c>
      <c r="K7" s="45">
        <f t="shared" si="2"/>
        <v>795109.83600000001</v>
      </c>
      <c r="L7" s="41">
        <f t="shared" ref="L7:L20" si="5">+H7/K7</f>
        <v>114.82074129441408</v>
      </c>
      <c r="M7" s="40">
        <f t="shared" si="4"/>
        <v>0</v>
      </c>
      <c r="N7" s="42">
        <f t="shared" si="3"/>
        <v>0</v>
      </c>
      <c r="O7" s="42">
        <f>'ม.ค.66'!N7</f>
        <v>0</v>
      </c>
      <c r="P7" s="55">
        <v>4531717.5</v>
      </c>
      <c r="Q7" s="46">
        <v>61605471.600000001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43">
        <v>15.96</v>
      </c>
      <c r="E8" s="43">
        <v>15.63</v>
      </c>
      <c r="F8" s="43">
        <v>14.97</v>
      </c>
      <c r="G8" s="43">
        <f t="shared" si="0"/>
        <v>0</v>
      </c>
      <c r="H8" s="46">
        <v>156775761.09999999</v>
      </c>
      <c r="I8" s="51">
        <v>-202118.41</v>
      </c>
      <c r="J8" s="43">
        <f t="shared" si="1"/>
        <v>1</v>
      </c>
      <c r="K8" s="48">
        <f t="shared" si="2"/>
        <v>-40423.682000000001</v>
      </c>
      <c r="L8" s="41">
        <f t="shared" si="5"/>
        <v>-3878.3147240273656</v>
      </c>
      <c r="M8" s="40">
        <f t="shared" si="4"/>
        <v>0</v>
      </c>
      <c r="N8" s="42">
        <f t="shared" si="3"/>
        <v>1</v>
      </c>
      <c r="O8" s="42">
        <f>'ม.ค.66'!N8</f>
        <v>0</v>
      </c>
      <c r="P8" s="55">
        <v>2340643.5</v>
      </c>
      <c r="Q8" s="46">
        <v>146345053.63999999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43">
        <v>4.13</v>
      </c>
      <c r="E9" s="43">
        <v>3.87</v>
      </c>
      <c r="F9" s="43">
        <v>3.31</v>
      </c>
      <c r="G9" s="43">
        <f t="shared" si="0"/>
        <v>0</v>
      </c>
      <c r="H9" s="46">
        <v>53608013.280000001</v>
      </c>
      <c r="I9" s="51">
        <v>-2278042.6800000002</v>
      </c>
      <c r="J9" s="43">
        <f t="shared" si="1"/>
        <v>1</v>
      </c>
      <c r="K9" s="48">
        <f t="shared" si="2"/>
        <v>-455608.53600000002</v>
      </c>
      <c r="L9" s="41">
        <f t="shared" si="5"/>
        <v>-117.66244274229314</v>
      </c>
      <c r="M9" s="40">
        <f t="shared" si="4"/>
        <v>0</v>
      </c>
      <c r="N9" s="42">
        <f t="shared" si="3"/>
        <v>1</v>
      </c>
      <c r="O9" s="42">
        <f>'ม.ค.66'!N9</f>
        <v>1</v>
      </c>
      <c r="P9" s="51">
        <v>-627947.92000000004</v>
      </c>
      <c r="Q9" s="46">
        <v>39605084.82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43">
        <v>2.08</v>
      </c>
      <c r="E10" s="43">
        <v>1.94</v>
      </c>
      <c r="F10" s="47">
        <v>1.56</v>
      </c>
      <c r="G10" s="43">
        <f t="shared" si="0"/>
        <v>0</v>
      </c>
      <c r="H10" s="46">
        <v>19265885.989999998</v>
      </c>
      <c r="I10" s="51">
        <v>-3012647.11</v>
      </c>
      <c r="J10" s="43">
        <f t="shared" si="1"/>
        <v>1</v>
      </c>
      <c r="K10" s="48">
        <f t="shared" si="2"/>
        <v>-602529.42200000002</v>
      </c>
      <c r="L10" s="41">
        <f t="shared" si="5"/>
        <v>-31.975012815224812</v>
      </c>
      <c r="M10" s="40">
        <f t="shared" si="4"/>
        <v>0</v>
      </c>
      <c r="N10" s="42">
        <f t="shared" si="3"/>
        <v>1</v>
      </c>
      <c r="O10" s="42">
        <f>'ม.ค.66'!N10</f>
        <v>1</v>
      </c>
      <c r="P10" s="51">
        <v>-2160846.52</v>
      </c>
      <c r="Q10" s="46">
        <v>10039314.59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43">
        <v>5.91</v>
      </c>
      <c r="E11" s="43">
        <v>5.69</v>
      </c>
      <c r="F11" s="43">
        <v>5.28</v>
      </c>
      <c r="G11" s="43">
        <f t="shared" si="0"/>
        <v>0</v>
      </c>
      <c r="H11" s="46">
        <v>263140620.77000001</v>
      </c>
      <c r="I11" s="51">
        <v>-18803540.32</v>
      </c>
      <c r="J11" s="43">
        <f t="shared" si="1"/>
        <v>1</v>
      </c>
      <c r="K11" s="48">
        <f t="shared" si="2"/>
        <v>-3760708.0640000002</v>
      </c>
      <c r="L11" s="41">
        <f t="shared" si="5"/>
        <v>-69.971031064324592</v>
      </c>
      <c r="M11" s="40">
        <f t="shared" si="4"/>
        <v>0</v>
      </c>
      <c r="N11" s="42">
        <f t="shared" si="3"/>
        <v>1</v>
      </c>
      <c r="O11" s="42">
        <f>'ม.ค.66'!N11</f>
        <v>1</v>
      </c>
      <c r="P11" s="55">
        <v>11161357.529999999</v>
      </c>
      <c r="Q11" s="46">
        <v>227338934.56999999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43">
        <v>4.37</v>
      </c>
      <c r="E12" s="43">
        <v>3.99</v>
      </c>
      <c r="F12" s="43">
        <v>3.09</v>
      </c>
      <c r="G12" s="43">
        <f t="shared" si="0"/>
        <v>0</v>
      </c>
      <c r="H12" s="46">
        <v>53174269.689999998</v>
      </c>
      <c r="I12" s="46">
        <v>8138821.7400000002</v>
      </c>
      <c r="J12" s="43">
        <f t="shared" si="1"/>
        <v>0</v>
      </c>
      <c r="K12" s="45">
        <f t="shared" si="2"/>
        <v>1627764.348</v>
      </c>
      <c r="L12" s="41">
        <f t="shared" si="5"/>
        <v>32.667056355752052</v>
      </c>
      <c r="M12" s="40">
        <f t="shared" si="4"/>
        <v>0</v>
      </c>
      <c r="N12" s="42">
        <f t="shared" si="3"/>
        <v>0</v>
      </c>
      <c r="O12" s="42">
        <f>'ม.ค.66'!N12</f>
        <v>0</v>
      </c>
      <c r="P12" s="55">
        <v>8695758.2799999993</v>
      </c>
      <c r="Q12" s="46">
        <v>32981789.789999999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43">
        <v>7.14</v>
      </c>
      <c r="E13" s="43">
        <v>6.93</v>
      </c>
      <c r="F13" s="43">
        <v>6.06</v>
      </c>
      <c r="G13" s="43">
        <f t="shared" si="0"/>
        <v>0</v>
      </c>
      <c r="H13" s="46">
        <v>91932293.370000005</v>
      </c>
      <c r="I13" s="51">
        <v>-3100501.09</v>
      </c>
      <c r="J13" s="43">
        <f t="shared" si="1"/>
        <v>1</v>
      </c>
      <c r="K13" s="48">
        <f t="shared" si="2"/>
        <v>-620100.21799999999</v>
      </c>
      <c r="L13" s="41">
        <f t="shared" si="5"/>
        <v>-148.25392848031544</v>
      </c>
      <c r="M13" s="40">
        <f t="shared" si="4"/>
        <v>0</v>
      </c>
      <c r="N13" s="42">
        <f t="shared" si="3"/>
        <v>1</v>
      </c>
      <c r="O13" s="42">
        <f>'ม.ค.66'!N13</f>
        <v>0</v>
      </c>
      <c r="P13" s="51">
        <v>-1566270.16</v>
      </c>
      <c r="Q13" s="46">
        <v>75631328.109999999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43">
        <v>6.99</v>
      </c>
      <c r="E14" s="43">
        <v>6.72</v>
      </c>
      <c r="F14" s="43">
        <v>5.56</v>
      </c>
      <c r="G14" s="43">
        <f t="shared" si="0"/>
        <v>0</v>
      </c>
      <c r="H14" s="46">
        <v>77699917.780000001</v>
      </c>
      <c r="I14" s="46">
        <v>6193144.6600000001</v>
      </c>
      <c r="J14" s="43">
        <f t="shared" si="1"/>
        <v>0</v>
      </c>
      <c r="K14" s="45">
        <f t="shared" si="2"/>
        <v>1238628.932</v>
      </c>
      <c r="L14" s="41">
        <f t="shared" si="5"/>
        <v>62.730585224211445</v>
      </c>
      <c r="M14" s="40">
        <f t="shared" si="4"/>
        <v>0</v>
      </c>
      <c r="N14" s="42">
        <f t="shared" si="3"/>
        <v>0</v>
      </c>
      <c r="O14" s="42">
        <f>'ม.ค.66'!N14</f>
        <v>0</v>
      </c>
      <c r="P14" s="55">
        <v>8812020.6799999997</v>
      </c>
      <c r="Q14" s="46">
        <v>59155702.079999998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43">
        <v>8.15</v>
      </c>
      <c r="E15" s="43">
        <v>7.69</v>
      </c>
      <c r="F15" s="43">
        <v>6.81</v>
      </c>
      <c r="G15" s="43">
        <f t="shared" si="0"/>
        <v>0</v>
      </c>
      <c r="H15" s="46">
        <v>78610455.590000004</v>
      </c>
      <c r="I15" s="46">
        <v>3554485.29</v>
      </c>
      <c r="J15" s="43">
        <f t="shared" si="1"/>
        <v>0</v>
      </c>
      <c r="K15" s="45">
        <f t="shared" si="2"/>
        <v>710897.05799999996</v>
      </c>
      <c r="L15" s="41">
        <f t="shared" si="5"/>
        <v>110.57923887202246</v>
      </c>
      <c r="M15" s="40">
        <f t="shared" si="4"/>
        <v>0</v>
      </c>
      <c r="N15" s="42">
        <f t="shared" si="3"/>
        <v>0</v>
      </c>
      <c r="O15" s="42">
        <f>'ม.ค.66'!N15</f>
        <v>0</v>
      </c>
      <c r="P15" s="55">
        <v>5872863.6699999999</v>
      </c>
      <c r="Q15" s="46">
        <v>63793900.060000002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43">
        <v>5.33</v>
      </c>
      <c r="E16" s="43">
        <v>5.12</v>
      </c>
      <c r="F16" s="43">
        <v>4.3600000000000003</v>
      </c>
      <c r="G16" s="43">
        <f t="shared" si="0"/>
        <v>0</v>
      </c>
      <c r="H16" s="46">
        <v>177034209.87</v>
      </c>
      <c r="I16" s="46">
        <v>18949626.27</v>
      </c>
      <c r="J16" s="43">
        <f t="shared" si="1"/>
        <v>0</v>
      </c>
      <c r="K16" s="45">
        <f t="shared" si="2"/>
        <v>3789925.2539999997</v>
      </c>
      <c r="L16" s="41">
        <f t="shared" si="5"/>
        <v>46.711794561951542</v>
      </c>
      <c r="M16" s="40">
        <f t="shared" si="4"/>
        <v>0</v>
      </c>
      <c r="N16" s="42">
        <f t="shared" si="3"/>
        <v>0</v>
      </c>
      <c r="O16" s="42">
        <f>'ม.ค.66'!N16</f>
        <v>0</v>
      </c>
      <c r="P16" s="55">
        <v>23742305.84</v>
      </c>
      <c r="Q16" s="46">
        <v>137340716.96000001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43">
        <v>5.28</v>
      </c>
      <c r="E17" s="43">
        <v>5.05</v>
      </c>
      <c r="F17" s="43">
        <v>4.7699999999999996</v>
      </c>
      <c r="G17" s="43">
        <f t="shared" si="0"/>
        <v>0</v>
      </c>
      <c r="H17" s="46">
        <v>29677314.199999999</v>
      </c>
      <c r="I17" s="46">
        <v>647416.44999999995</v>
      </c>
      <c r="J17" s="43">
        <f t="shared" si="1"/>
        <v>0</v>
      </c>
      <c r="K17" s="45">
        <f t="shared" si="2"/>
        <v>129483.29</v>
      </c>
      <c r="L17" s="41">
        <f t="shared" si="5"/>
        <v>229.19802393034655</v>
      </c>
      <c r="M17" s="40">
        <f t="shared" si="4"/>
        <v>0</v>
      </c>
      <c r="N17" s="42">
        <f t="shared" si="3"/>
        <v>0</v>
      </c>
      <c r="O17" s="42">
        <f>'ม.ค.66'!N17</f>
        <v>0</v>
      </c>
      <c r="P17" s="55">
        <v>1323349.58</v>
      </c>
      <c r="Q17" s="46">
        <v>26084929.23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43">
        <v>12.84</v>
      </c>
      <c r="E18" s="43">
        <v>12.69</v>
      </c>
      <c r="F18" s="43">
        <v>11.93</v>
      </c>
      <c r="G18" s="43">
        <f t="shared" si="0"/>
        <v>0</v>
      </c>
      <c r="H18" s="46">
        <v>219715637.08000001</v>
      </c>
      <c r="I18" s="46">
        <v>143323.17000000001</v>
      </c>
      <c r="J18" s="43">
        <f t="shared" si="1"/>
        <v>0</v>
      </c>
      <c r="K18" s="45">
        <f t="shared" si="2"/>
        <v>28664.634000000002</v>
      </c>
      <c r="L18" s="41">
        <f t="shared" si="5"/>
        <v>7665.0424728953458</v>
      </c>
      <c r="M18" s="40">
        <f t="shared" si="4"/>
        <v>0</v>
      </c>
      <c r="N18" s="42">
        <f t="shared" si="3"/>
        <v>0</v>
      </c>
      <c r="O18" s="42">
        <f>'ม.ค.66'!N18</f>
        <v>0</v>
      </c>
      <c r="P18" s="55">
        <v>2700165.08</v>
      </c>
      <c r="Q18" s="46">
        <v>202788114.96000001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43">
        <v>2.21</v>
      </c>
      <c r="E19" s="43">
        <v>2.0299999999999998</v>
      </c>
      <c r="F19" s="43">
        <v>1.78</v>
      </c>
      <c r="G19" s="43">
        <f t="shared" si="0"/>
        <v>0</v>
      </c>
      <c r="H19" s="46">
        <v>15221824.84</v>
      </c>
      <c r="I19" s="79">
        <v>-4832172.76</v>
      </c>
      <c r="J19" s="43">
        <f t="shared" si="1"/>
        <v>1</v>
      </c>
      <c r="K19" s="48">
        <f t="shared" si="2"/>
        <v>-966434.55199999991</v>
      </c>
      <c r="L19" s="41">
        <f t="shared" si="5"/>
        <v>-15.750497339420457</v>
      </c>
      <c r="M19" s="40">
        <f t="shared" si="4"/>
        <v>0</v>
      </c>
      <c r="N19" s="42">
        <f t="shared" si="3"/>
        <v>1</v>
      </c>
      <c r="O19" s="42">
        <f>'ม.ค.66'!N19</f>
        <v>1</v>
      </c>
      <c r="P19" s="51">
        <v>-3406848.67</v>
      </c>
      <c r="Q19" s="46">
        <v>9810819.1199999992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43">
        <v>3.37</v>
      </c>
      <c r="E20" s="47">
        <v>3.1</v>
      </c>
      <c r="F20" s="43">
        <v>2.4700000000000002</v>
      </c>
      <c r="G20" s="43">
        <f t="shared" si="0"/>
        <v>0</v>
      </c>
      <c r="H20" s="46">
        <v>13330624.32</v>
      </c>
      <c r="I20" s="51">
        <v>-1372117.09</v>
      </c>
      <c r="J20" s="43">
        <f t="shared" si="1"/>
        <v>1</v>
      </c>
      <c r="K20" s="48">
        <f t="shared" si="2"/>
        <v>-274423.41800000001</v>
      </c>
      <c r="L20" s="41">
        <f t="shared" si="5"/>
        <v>-48.576846747095033</v>
      </c>
      <c r="M20" s="40">
        <f t="shared" si="4"/>
        <v>0</v>
      </c>
      <c r="N20" s="42">
        <f t="shared" si="3"/>
        <v>1</v>
      </c>
      <c r="O20" s="42">
        <f>'ม.ค.66'!N20</f>
        <v>0</v>
      </c>
      <c r="P20" s="55">
        <v>337148.93</v>
      </c>
      <c r="Q20" s="46">
        <v>8297834.0899999999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8" t="s">
        <v>5</v>
      </c>
      <c r="M23" s="128"/>
      <c r="N23" s="12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8"/>
      <c r="M24" s="128"/>
      <c r="N24" s="12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8" t="s">
        <v>5</v>
      </c>
      <c r="M25" s="128"/>
      <c r="N25" s="12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8"/>
      <c r="M26" s="128"/>
      <c r="N26" s="12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9" t="s">
        <v>5</v>
      </c>
      <c r="L27" s="12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8" t="s">
        <v>5</v>
      </c>
      <c r="M30" s="128"/>
      <c r="N30" s="12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8"/>
      <c r="M31" s="128"/>
      <c r="N31" s="12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2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7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AJ44"/>
  <sheetViews>
    <sheetView zoomScale="70" zoomScaleNormal="70" workbookViewId="0">
      <pane xSplit="3" ySplit="4" topLeftCell="J5" activePane="bottomRight" state="frozen"/>
      <selection activeCell="M6" sqref="M6"/>
      <selection pane="topRight" activeCell="M6" sqref="M6"/>
      <selection pane="bottomLeft" activeCell="M6" sqref="M6"/>
      <selection pane="bottomRight" activeCell="H21" sqref="H2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4" t="s">
        <v>75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P1" s="54" t="s">
        <v>53</v>
      </c>
      <c r="Q1" s="38">
        <v>45027</v>
      </c>
    </row>
    <row r="2" spans="1:25" ht="54.75" customHeight="1" thickBot="1" x14ac:dyDescent="0.3">
      <c r="C2" s="115" t="s">
        <v>41</v>
      </c>
      <c r="D2" s="116" t="s">
        <v>40</v>
      </c>
      <c r="E2" s="116"/>
      <c r="F2" s="116"/>
      <c r="G2" s="116"/>
      <c r="H2" s="117" t="s">
        <v>39</v>
      </c>
      <c r="I2" s="117"/>
      <c r="J2" s="117"/>
      <c r="K2" s="118" t="s">
        <v>38</v>
      </c>
      <c r="L2" s="118"/>
      <c r="M2" s="118"/>
      <c r="N2" s="119" t="s">
        <v>77</v>
      </c>
      <c r="O2" s="134" t="s">
        <v>78</v>
      </c>
      <c r="P2" s="134" t="s">
        <v>56</v>
      </c>
      <c r="Q2" s="130" t="s">
        <v>37</v>
      </c>
    </row>
    <row r="3" spans="1:25" ht="38.25" customHeight="1" thickBot="1" x14ac:dyDescent="0.3">
      <c r="C3" s="115"/>
      <c r="D3" s="122" t="s">
        <v>36</v>
      </c>
      <c r="E3" s="122" t="s">
        <v>35</v>
      </c>
      <c r="F3" s="122" t="s">
        <v>34</v>
      </c>
      <c r="G3" s="123" t="s">
        <v>29</v>
      </c>
      <c r="H3" s="124" t="s">
        <v>33</v>
      </c>
      <c r="I3" s="115" t="s">
        <v>32</v>
      </c>
      <c r="J3" s="125" t="s">
        <v>29</v>
      </c>
      <c r="K3" s="126" t="s">
        <v>31</v>
      </c>
      <c r="L3" s="115" t="s">
        <v>30</v>
      </c>
      <c r="M3" s="120" t="s">
        <v>29</v>
      </c>
      <c r="N3" s="119"/>
      <c r="O3" s="134"/>
      <c r="P3" s="134"/>
      <c r="Q3" s="130"/>
    </row>
    <row r="4" spans="1:25" ht="36.75" customHeight="1" thickBot="1" x14ac:dyDescent="0.3">
      <c r="C4" s="115"/>
      <c r="D4" s="122"/>
      <c r="E4" s="122"/>
      <c r="F4" s="122"/>
      <c r="G4" s="123"/>
      <c r="H4" s="124"/>
      <c r="I4" s="115"/>
      <c r="J4" s="125"/>
      <c r="K4" s="126"/>
      <c r="L4" s="115"/>
      <c r="M4" s="120"/>
      <c r="N4" s="119"/>
      <c r="O4" s="134"/>
      <c r="P4" s="134"/>
      <c r="Q4" s="13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72">
        <v>2.9</v>
      </c>
      <c r="E5" s="70">
        <v>2.61</v>
      </c>
      <c r="F5" s="43">
        <v>1.37</v>
      </c>
      <c r="G5" s="43">
        <f t="shared" ref="G5:G20" si="0">(IF(D5&lt;1.5,1,0))+(IF(E5&lt;1,1,0))+(IF(F5&lt;0.8,1,0))</f>
        <v>0</v>
      </c>
      <c r="H5" s="71">
        <v>443030501.67000002</v>
      </c>
      <c r="I5" s="71">
        <v>29778835.73</v>
      </c>
      <c r="J5" s="43">
        <f t="shared" ref="J5:J20" si="1">IF(I5&lt;0,1,0)+IF(H5&lt;0,1,0)</f>
        <v>0</v>
      </c>
      <c r="K5" s="45">
        <f t="shared" ref="K5:K20" si="2">SUM(I5/6)</f>
        <v>4963139.2883333331</v>
      </c>
      <c r="L5" s="41">
        <f>+H5/K5</f>
        <v>89.264168489370292</v>
      </c>
      <c r="M5" s="40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2">
        <f t="shared" ref="N5:N20" si="3">SUM(G5+J5+M5)</f>
        <v>0</v>
      </c>
      <c r="O5" s="42">
        <f>'ก.พ.66'!N5</f>
        <v>0</v>
      </c>
      <c r="P5" s="55">
        <v>48511731.939999998</v>
      </c>
      <c r="Q5" s="46">
        <v>87561182.980000004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70">
        <v>2.2599999999999998</v>
      </c>
      <c r="E6" s="70">
        <v>2.15</v>
      </c>
      <c r="F6" s="70">
        <v>1.49</v>
      </c>
      <c r="G6" s="43">
        <f t="shared" si="0"/>
        <v>0</v>
      </c>
      <c r="H6" s="71">
        <v>158600375.5</v>
      </c>
      <c r="I6" s="71">
        <v>21752876.27</v>
      </c>
      <c r="J6" s="43">
        <f>IF(I6&lt;0,1,0)+IF(H6&lt;0,1,0)</f>
        <v>0</v>
      </c>
      <c r="K6" s="45">
        <f t="shared" si="2"/>
        <v>3625479.3783333334</v>
      </c>
      <c r="L6" s="41">
        <f>+H6/K6</f>
        <v>43.74604264689269</v>
      </c>
      <c r="M6" s="43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2">
        <f>SUM(G6+J6+M6)</f>
        <v>0</v>
      </c>
      <c r="O6" s="42">
        <f>'ก.พ.66'!N6</f>
        <v>0</v>
      </c>
      <c r="P6" s="55">
        <v>40247908.859999999</v>
      </c>
      <c r="Q6" s="46">
        <v>61298421.310000002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70">
        <v>5.45</v>
      </c>
      <c r="E7" s="70">
        <v>5.22</v>
      </c>
      <c r="F7" s="70">
        <v>4.12</v>
      </c>
      <c r="G7" s="43">
        <f t="shared" si="0"/>
        <v>0</v>
      </c>
      <c r="H7" s="71">
        <v>87103108.310000002</v>
      </c>
      <c r="I7" s="51">
        <v>-211104.85</v>
      </c>
      <c r="J7" s="39">
        <f t="shared" si="1"/>
        <v>1</v>
      </c>
      <c r="K7" s="48">
        <f t="shared" si="2"/>
        <v>-35184.14166666667</v>
      </c>
      <c r="L7" s="41">
        <f t="shared" ref="L7:L20" si="5">+H7/K7</f>
        <v>-2475.6354477881487</v>
      </c>
      <c r="M7" s="40">
        <f t="shared" si="4"/>
        <v>0</v>
      </c>
      <c r="N7" s="42">
        <f t="shared" si="3"/>
        <v>1</v>
      </c>
      <c r="O7" s="42">
        <f>'ก.พ.66'!N7</f>
        <v>0</v>
      </c>
      <c r="P7" s="55">
        <v>634453.85</v>
      </c>
      <c r="Q7" s="46">
        <v>61074454.960000001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70">
        <v>17.37</v>
      </c>
      <c r="E8" s="70">
        <v>17.02</v>
      </c>
      <c r="F8" s="70">
        <v>16.37</v>
      </c>
      <c r="G8" s="43">
        <f t="shared" si="0"/>
        <v>0</v>
      </c>
      <c r="H8" s="71">
        <v>156433136.49000001</v>
      </c>
      <c r="I8" s="51">
        <v>-3858369.96</v>
      </c>
      <c r="J8" s="39">
        <f t="shared" si="1"/>
        <v>1</v>
      </c>
      <c r="K8" s="48">
        <f t="shared" si="2"/>
        <v>-643061.66</v>
      </c>
      <c r="L8" s="41">
        <f t="shared" si="5"/>
        <v>-243.26304337596491</v>
      </c>
      <c r="M8" s="40">
        <f t="shared" si="4"/>
        <v>0</v>
      </c>
      <c r="N8" s="42">
        <f t="shared" si="3"/>
        <v>1</v>
      </c>
      <c r="O8" s="42">
        <f>'ก.พ.66'!N8</f>
        <v>1</v>
      </c>
      <c r="P8" s="51">
        <v>-635913.09</v>
      </c>
      <c r="Q8" s="46">
        <v>146913140.03999999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70">
        <v>4.43</v>
      </c>
      <c r="E9" s="70">
        <v>4.1100000000000003</v>
      </c>
      <c r="F9" s="70">
        <v>3.48</v>
      </c>
      <c r="G9" s="43">
        <f t="shared" si="0"/>
        <v>0</v>
      </c>
      <c r="H9" s="71">
        <v>50138624.310000002</v>
      </c>
      <c r="I9" s="51">
        <v>-5942723.0700000003</v>
      </c>
      <c r="J9" s="39">
        <f t="shared" si="1"/>
        <v>1</v>
      </c>
      <c r="K9" s="48">
        <f t="shared" si="2"/>
        <v>-990453.84500000009</v>
      </c>
      <c r="L9" s="41">
        <f t="shared" si="5"/>
        <v>-50.621868513216782</v>
      </c>
      <c r="M9" s="40">
        <f t="shared" si="4"/>
        <v>0</v>
      </c>
      <c r="N9" s="42">
        <f t="shared" si="3"/>
        <v>1</v>
      </c>
      <c r="O9" s="42">
        <f>'ก.พ.66'!N9</f>
        <v>1</v>
      </c>
      <c r="P9" s="51">
        <v>-3578503.98</v>
      </c>
      <c r="Q9" s="46">
        <v>36243626.369999997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70">
        <v>1.94</v>
      </c>
      <c r="E10" s="72">
        <v>1.8</v>
      </c>
      <c r="F10" s="70">
        <v>1.45</v>
      </c>
      <c r="G10" s="43">
        <f t="shared" si="0"/>
        <v>0</v>
      </c>
      <c r="H10" s="71">
        <v>17331039.469999999</v>
      </c>
      <c r="I10" s="51">
        <v>-5343620.57</v>
      </c>
      <c r="J10" s="39">
        <f t="shared" si="1"/>
        <v>1</v>
      </c>
      <c r="K10" s="48">
        <f t="shared" si="2"/>
        <v>-890603.42833333334</v>
      </c>
      <c r="L10" s="41">
        <f t="shared" si="5"/>
        <v>-19.45988407256992</v>
      </c>
      <c r="M10" s="40">
        <f t="shared" si="4"/>
        <v>0</v>
      </c>
      <c r="N10" s="42">
        <f t="shared" si="3"/>
        <v>1</v>
      </c>
      <c r="O10" s="42">
        <f>'ก.พ.66'!N10</f>
        <v>1</v>
      </c>
      <c r="P10" s="51">
        <v>-4246790.79</v>
      </c>
      <c r="Q10" s="46">
        <v>8265322.7400000002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70">
        <v>6.41</v>
      </c>
      <c r="E11" s="70">
        <v>6.17</v>
      </c>
      <c r="F11" s="72">
        <v>5.75</v>
      </c>
      <c r="G11" s="43">
        <f t="shared" si="0"/>
        <v>0</v>
      </c>
      <c r="H11" s="71">
        <v>264934690.27000001</v>
      </c>
      <c r="I11" s="51">
        <v>-25269492.739999998</v>
      </c>
      <c r="J11" s="39">
        <f t="shared" si="1"/>
        <v>1</v>
      </c>
      <c r="K11" s="48">
        <f t="shared" si="2"/>
        <v>-4211582.1233333331</v>
      </c>
      <c r="L11" s="41">
        <f t="shared" si="5"/>
        <v>-62.906214935757362</v>
      </c>
      <c r="M11" s="40">
        <f t="shared" si="4"/>
        <v>0</v>
      </c>
      <c r="N11" s="42">
        <f t="shared" si="3"/>
        <v>1</v>
      </c>
      <c r="O11" s="42">
        <f>'ก.พ.66'!N11</f>
        <v>1</v>
      </c>
      <c r="P11" s="55">
        <v>12437493.289999999</v>
      </c>
      <c r="Q11" s="46">
        <v>230308722.59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72">
        <v>4.2</v>
      </c>
      <c r="E12" s="72">
        <v>3.84</v>
      </c>
      <c r="F12" s="70">
        <v>3.04</v>
      </c>
      <c r="G12" s="43">
        <f t="shared" si="0"/>
        <v>0</v>
      </c>
      <c r="H12" s="71">
        <v>49490694.649999999</v>
      </c>
      <c r="I12" s="71">
        <v>4673500.3099999996</v>
      </c>
      <c r="J12" s="43">
        <f t="shared" si="1"/>
        <v>0</v>
      </c>
      <c r="K12" s="45">
        <f t="shared" si="2"/>
        <v>778916.71833333327</v>
      </c>
      <c r="L12" s="41">
        <f t="shared" si="5"/>
        <v>63.537851332677029</v>
      </c>
      <c r="M12" s="40">
        <f t="shared" si="4"/>
        <v>0</v>
      </c>
      <c r="N12" s="42">
        <f t="shared" si="3"/>
        <v>0</v>
      </c>
      <c r="O12" s="42">
        <f>'ก.พ.66'!N12</f>
        <v>0</v>
      </c>
      <c r="P12" s="55">
        <v>5519004.3099999996</v>
      </c>
      <c r="Q12" s="46">
        <v>31520068.16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70">
        <v>6.12</v>
      </c>
      <c r="E13" s="70">
        <v>5.93</v>
      </c>
      <c r="F13" s="70">
        <v>5.23</v>
      </c>
      <c r="G13" s="43">
        <f t="shared" si="0"/>
        <v>0</v>
      </c>
      <c r="H13" s="71">
        <v>87995138.810000002</v>
      </c>
      <c r="I13" s="51">
        <v>-6555385.6100000003</v>
      </c>
      <c r="J13" s="39">
        <f t="shared" si="1"/>
        <v>1</v>
      </c>
      <c r="K13" s="48">
        <f t="shared" si="2"/>
        <v>-1092564.2683333333</v>
      </c>
      <c r="L13" s="41">
        <f t="shared" si="5"/>
        <v>-80.540011567679542</v>
      </c>
      <c r="M13" s="40">
        <f t="shared" si="4"/>
        <v>0</v>
      </c>
      <c r="N13" s="42">
        <f t="shared" si="3"/>
        <v>1</v>
      </c>
      <c r="O13" s="42">
        <f>'ก.พ.66'!N13</f>
        <v>1</v>
      </c>
      <c r="P13" s="51">
        <v>-4595093.18</v>
      </c>
      <c r="Q13" s="46">
        <v>72529032.700000003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70">
        <v>6.97</v>
      </c>
      <c r="E14" s="70">
        <v>6.68</v>
      </c>
      <c r="F14" s="72">
        <v>5.6</v>
      </c>
      <c r="G14" s="43">
        <f t="shared" si="0"/>
        <v>0</v>
      </c>
      <c r="H14" s="71">
        <v>77409673.549999997</v>
      </c>
      <c r="I14" s="71">
        <v>5383788.3099999996</v>
      </c>
      <c r="J14" s="43">
        <f t="shared" si="1"/>
        <v>0</v>
      </c>
      <c r="K14" s="45">
        <f t="shared" si="2"/>
        <v>897298.05166666664</v>
      </c>
      <c r="L14" s="41">
        <f t="shared" si="5"/>
        <v>86.269744380049744</v>
      </c>
      <c r="M14" s="40">
        <f t="shared" si="4"/>
        <v>0</v>
      </c>
      <c r="N14" s="42">
        <f t="shared" si="3"/>
        <v>0</v>
      </c>
      <c r="O14" s="42">
        <f>'ก.พ.66'!N14</f>
        <v>0</v>
      </c>
      <c r="P14" s="55">
        <v>8321103.9100000001</v>
      </c>
      <c r="Q14" s="46">
        <v>59067154.159999996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70">
        <v>7.87</v>
      </c>
      <c r="E15" s="70">
        <v>7.41</v>
      </c>
      <c r="F15" s="72">
        <v>6.59</v>
      </c>
      <c r="G15" s="43">
        <f t="shared" si="0"/>
        <v>0</v>
      </c>
      <c r="H15" s="71">
        <v>74745592.319999993</v>
      </c>
      <c r="I15" s="51">
        <v>-1191253.8899999999</v>
      </c>
      <c r="J15" s="39">
        <f t="shared" si="1"/>
        <v>1</v>
      </c>
      <c r="K15" s="48">
        <f t="shared" si="2"/>
        <v>-198542.31499999997</v>
      </c>
      <c r="L15" s="41">
        <f t="shared" si="5"/>
        <v>-376.47184843190735</v>
      </c>
      <c r="M15" s="40">
        <f t="shared" si="4"/>
        <v>0</v>
      </c>
      <c r="N15" s="42">
        <f t="shared" si="3"/>
        <v>1</v>
      </c>
      <c r="O15" s="42">
        <f>'ก.พ.66'!N15</f>
        <v>0</v>
      </c>
      <c r="P15" s="55">
        <v>1677509.62</v>
      </c>
      <c r="Q15" s="46">
        <v>60391473.75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70">
        <v>5.86</v>
      </c>
      <c r="E16" s="70">
        <v>5.63</v>
      </c>
      <c r="F16" s="70">
        <v>4.66</v>
      </c>
      <c r="G16" s="43">
        <f t="shared" si="0"/>
        <v>0</v>
      </c>
      <c r="H16" s="71">
        <v>175144522.24000001</v>
      </c>
      <c r="I16" s="71">
        <v>14911960.369999999</v>
      </c>
      <c r="J16" s="43">
        <f t="shared" si="1"/>
        <v>0</v>
      </c>
      <c r="K16" s="45">
        <f t="shared" si="2"/>
        <v>2485326.728333333</v>
      </c>
      <c r="L16" s="41">
        <f t="shared" si="5"/>
        <v>70.471427455919411</v>
      </c>
      <c r="M16" s="40">
        <f t="shared" si="4"/>
        <v>0</v>
      </c>
      <c r="N16" s="42">
        <f t="shared" si="3"/>
        <v>0</v>
      </c>
      <c r="O16" s="42">
        <f>'ก.พ.66'!N16</f>
        <v>0</v>
      </c>
      <c r="P16" s="55">
        <v>21457122.129999999</v>
      </c>
      <c r="Q16" s="46">
        <v>132065034.91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72">
        <v>4.01</v>
      </c>
      <c r="E17" s="70">
        <v>3.84</v>
      </c>
      <c r="F17" s="70">
        <v>3.61</v>
      </c>
      <c r="G17" s="43">
        <f t="shared" si="0"/>
        <v>0</v>
      </c>
      <c r="H17" s="71">
        <v>26662638.27</v>
      </c>
      <c r="I17" s="51">
        <v>-1222018.3700000001</v>
      </c>
      <c r="J17" s="39">
        <f t="shared" si="1"/>
        <v>1</v>
      </c>
      <c r="K17" s="48">
        <f t="shared" si="2"/>
        <v>-203669.72833333336</v>
      </c>
      <c r="L17" s="41">
        <f t="shared" si="5"/>
        <v>-130.91114957625391</v>
      </c>
      <c r="M17" s="40">
        <f t="shared" si="4"/>
        <v>0</v>
      </c>
      <c r="N17" s="42">
        <f t="shared" si="3"/>
        <v>1</v>
      </c>
      <c r="O17" s="42">
        <f>'ก.พ.66'!N17</f>
        <v>0</v>
      </c>
      <c r="P17" s="51">
        <v>-305613.40999999997</v>
      </c>
      <c r="Q17" s="46">
        <v>23062922.260000002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70">
        <v>12.15</v>
      </c>
      <c r="E18" s="70">
        <v>12.02</v>
      </c>
      <c r="F18" s="70">
        <v>11.24</v>
      </c>
      <c r="G18" s="43">
        <f t="shared" si="0"/>
        <v>0</v>
      </c>
      <c r="H18" s="71">
        <v>222528227.58000001</v>
      </c>
      <c r="I18" s="51">
        <v>-3134249.73</v>
      </c>
      <c r="J18" s="39">
        <f t="shared" si="1"/>
        <v>1</v>
      </c>
      <c r="K18" s="48">
        <f t="shared" si="2"/>
        <v>-522374.95500000002</v>
      </c>
      <c r="L18" s="41">
        <f t="shared" si="5"/>
        <v>-425.99329361033398</v>
      </c>
      <c r="M18" s="40">
        <f t="shared" si="4"/>
        <v>0</v>
      </c>
      <c r="N18" s="42">
        <f t="shared" si="3"/>
        <v>1</v>
      </c>
      <c r="O18" s="42">
        <f>'ก.พ.66'!N18</f>
        <v>0</v>
      </c>
      <c r="P18" s="51">
        <v>-43485.52</v>
      </c>
      <c r="Q18" s="46">
        <v>204256696.03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70">
        <v>2.42</v>
      </c>
      <c r="E19" s="70">
        <v>2.19</v>
      </c>
      <c r="F19" s="72">
        <v>1.8</v>
      </c>
      <c r="G19" s="43">
        <f t="shared" si="0"/>
        <v>0</v>
      </c>
      <c r="H19" s="71">
        <v>12624204.539999999</v>
      </c>
      <c r="I19" s="51">
        <v>-7144785.1200000001</v>
      </c>
      <c r="J19" s="39">
        <f t="shared" si="1"/>
        <v>1</v>
      </c>
      <c r="K19" s="48">
        <f t="shared" si="2"/>
        <v>-1190797.52</v>
      </c>
      <c r="L19" s="41">
        <f t="shared" si="5"/>
        <v>-10.60147029866169</v>
      </c>
      <c r="M19" s="40">
        <f t="shared" si="4"/>
        <v>0</v>
      </c>
      <c r="N19" s="42">
        <f t="shared" si="3"/>
        <v>1</v>
      </c>
      <c r="O19" s="42">
        <f>'ก.พ.66'!N19</f>
        <v>1</v>
      </c>
      <c r="P19" s="51">
        <v>-5398135.5099999998</v>
      </c>
      <c r="Q19" s="46">
        <v>7083634.0199999996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70">
        <v>3.25</v>
      </c>
      <c r="E20" s="70">
        <v>2.95</v>
      </c>
      <c r="F20" s="70">
        <v>2.2400000000000002</v>
      </c>
      <c r="G20" s="43">
        <f t="shared" si="0"/>
        <v>0</v>
      </c>
      <c r="H20" s="71">
        <v>11976851</v>
      </c>
      <c r="I20" s="51">
        <v>-2783089.47</v>
      </c>
      <c r="J20" s="39">
        <f t="shared" si="1"/>
        <v>1</v>
      </c>
      <c r="K20" s="48">
        <f t="shared" si="2"/>
        <v>-463848.24500000005</v>
      </c>
      <c r="L20" s="41">
        <f t="shared" si="5"/>
        <v>-25.820623725761855</v>
      </c>
      <c r="M20" s="40">
        <f t="shared" si="4"/>
        <v>0</v>
      </c>
      <c r="N20" s="42">
        <f t="shared" si="3"/>
        <v>1</v>
      </c>
      <c r="O20" s="42">
        <f>'ก.พ.66'!N20</f>
        <v>1</v>
      </c>
      <c r="P20" s="51">
        <v>-700612.29</v>
      </c>
      <c r="Q20" s="46">
        <v>6576251.79</v>
      </c>
      <c r="S20" s="8"/>
      <c r="V20" s="9"/>
      <c r="W20" s="10"/>
      <c r="X20" s="10"/>
      <c r="Y20" s="9"/>
    </row>
    <row r="21" spans="1:25" ht="30.75" customHeight="1" thickBot="1" x14ac:dyDescent="0.45">
      <c r="C21" s="11" t="s">
        <v>116</v>
      </c>
      <c r="D21" s="11"/>
      <c r="E21" s="11"/>
      <c r="F21" s="11"/>
      <c r="G21" s="11"/>
      <c r="H21" s="83">
        <f>SUM(H5:H20)</f>
        <v>1916149018.9799998</v>
      </c>
      <c r="I21" s="83">
        <f>SUM(I5:I20)</f>
        <v>13844867.609999994</v>
      </c>
      <c r="J21" s="11"/>
      <c r="K21" s="11"/>
      <c r="L21" s="12"/>
      <c r="M21" s="37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83">
        <f>SUM(P5:P20)</f>
        <v>119302180.13999997</v>
      </c>
      <c r="Q21" s="83">
        <f>SUM(Q5:Q20)</f>
        <v>1228217138.77</v>
      </c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8" t="s">
        <v>5</v>
      </c>
      <c r="M23" s="128"/>
      <c r="N23" s="12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8"/>
      <c r="M24" s="128"/>
      <c r="N24" s="12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8" t="s">
        <v>5</v>
      </c>
      <c r="M25" s="128"/>
      <c r="N25" s="12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8"/>
      <c r="M26" s="128"/>
      <c r="N26" s="12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9" t="s">
        <v>5</v>
      </c>
      <c r="L27" s="12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8" t="s">
        <v>5</v>
      </c>
      <c r="M30" s="128"/>
      <c r="N30" s="12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8"/>
      <c r="M31" s="128"/>
      <c r="N31" s="12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  <pageSetUpPr fitToPage="1"/>
  </sheetPr>
  <dimension ref="A1:AJ44"/>
  <sheetViews>
    <sheetView topLeftCell="B1" zoomScale="80" zoomScaleNormal="8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O7" sqref="O7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4" t="s">
        <v>117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P1" s="54" t="s">
        <v>53</v>
      </c>
      <c r="Q1" s="38">
        <v>45061</v>
      </c>
    </row>
    <row r="2" spans="1:25" ht="54.75" customHeight="1" thickBot="1" x14ac:dyDescent="0.3">
      <c r="C2" s="115" t="s">
        <v>41</v>
      </c>
      <c r="D2" s="116" t="s">
        <v>40</v>
      </c>
      <c r="E2" s="116"/>
      <c r="F2" s="116"/>
      <c r="G2" s="116"/>
      <c r="H2" s="117" t="s">
        <v>39</v>
      </c>
      <c r="I2" s="117"/>
      <c r="J2" s="117"/>
      <c r="K2" s="118" t="s">
        <v>38</v>
      </c>
      <c r="L2" s="118"/>
      <c r="M2" s="118"/>
      <c r="N2" s="119" t="s">
        <v>79</v>
      </c>
      <c r="O2" s="134" t="s">
        <v>80</v>
      </c>
      <c r="P2" s="134" t="s">
        <v>56</v>
      </c>
      <c r="Q2" s="130" t="s">
        <v>61</v>
      </c>
    </row>
    <row r="3" spans="1:25" ht="38.25" customHeight="1" thickBot="1" x14ac:dyDescent="0.3">
      <c r="C3" s="115"/>
      <c r="D3" s="122" t="s">
        <v>36</v>
      </c>
      <c r="E3" s="122" t="s">
        <v>35</v>
      </c>
      <c r="F3" s="122" t="s">
        <v>34</v>
      </c>
      <c r="G3" s="123" t="s">
        <v>29</v>
      </c>
      <c r="H3" s="124" t="s">
        <v>33</v>
      </c>
      <c r="I3" s="115" t="s">
        <v>32</v>
      </c>
      <c r="J3" s="125" t="s">
        <v>29</v>
      </c>
      <c r="K3" s="126" t="s">
        <v>31</v>
      </c>
      <c r="L3" s="115" t="s">
        <v>30</v>
      </c>
      <c r="M3" s="120" t="s">
        <v>29</v>
      </c>
      <c r="N3" s="119"/>
      <c r="O3" s="134"/>
      <c r="P3" s="134"/>
      <c r="Q3" s="130"/>
    </row>
    <row r="4" spans="1:25" ht="36.75" customHeight="1" thickBot="1" x14ac:dyDescent="0.3">
      <c r="C4" s="115"/>
      <c r="D4" s="122"/>
      <c r="E4" s="122"/>
      <c r="F4" s="122"/>
      <c r="G4" s="123"/>
      <c r="H4" s="124"/>
      <c r="I4" s="115"/>
      <c r="J4" s="125"/>
      <c r="K4" s="126"/>
      <c r="L4" s="115"/>
      <c r="M4" s="120"/>
      <c r="N4" s="119"/>
      <c r="O4" s="134"/>
      <c r="P4" s="134"/>
      <c r="Q4" s="13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70">
        <v>2.85</v>
      </c>
      <c r="E5" s="70">
        <v>2.54</v>
      </c>
      <c r="F5" s="72">
        <v>1.36</v>
      </c>
      <c r="G5" s="43">
        <f t="shared" ref="G5:G20" si="0">(IF(D5&lt;1.5,1,0))+(IF(E5&lt;1,1,0))+(IF(F5&lt;0.8,1,0))</f>
        <v>0</v>
      </c>
      <c r="H5" s="71">
        <v>427041784.02999997</v>
      </c>
      <c r="I5" s="71">
        <v>10609487.939999999</v>
      </c>
      <c r="J5" s="43">
        <f t="shared" ref="J5:J20" si="1">IF(I5&lt;0,1,0)+IF(H5&lt;0,1,0)</f>
        <v>0</v>
      </c>
      <c r="K5" s="45">
        <f>SUM(I5/7)</f>
        <v>1515641.1342857142</v>
      </c>
      <c r="L5" s="41">
        <f>+H5/K5</f>
        <v>281.75652822411331</v>
      </c>
      <c r="M5" s="43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2">
        <f t="shared" ref="N5:N20" si="2">SUM(G5+J5+M5)</f>
        <v>0</v>
      </c>
      <c r="O5" s="42">
        <f>'มี.ค.66'!N5</f>
        <v>0</v>
      </c>
      <c r="P5" s="55">
        <v>36517567.340000004</v>
      </c>
      <c r="Q5" s="71">
        <v>82179581.150000006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72">
        <v>2.2599999999999998</v>
      </c>
      <c r="E6" s="72">
        <v>2.15</v>
      </c>
      <c r="F6" s="70">
        <v>1.51</v>
      </c>
      <c r="G6" s="43">
        <f t="shared" si="0"/>
        <v>0</v>
      </c>
      <c r="H6" s="71">
        <v>157778927.72</v>
      </c>
      <c r="I6" s="71">
        <v>17130848.940000001</v>
      </c>
      <c r="J6" s="43">
        <f>IF(I6&lt;0,1,0)+IF(H6&lt;0,1,0)</f>
        <v>0</v>
      </c>
      <c r="K6" s="45">
        <f>SUM(I6/7)</f>
        <v>2447264.1342857145</v>
      </c>
      <c r="L6" s="41">
        <f>+H6/K6</f>
        <v>64.471556424803779</v>
      </c>
      <c r="M6" s="43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2">
        <f>SUM(G6+J6+M6)</f>
        <v>0</v>
      </c>
      <c r="O6" s="42">
        <f>'มี.ค.66'!N6</f>
        <v>0</v>
      </c>
      <c r="P6" s="55">
        <v>40639510.060000002</v>
      </c>
      <c r="Q6" s="71">
        <v>64174176.899999999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70">
        <v>5.35</v>
      </c>
      <c r="E7" s="72">
        <v>5.15</v>
      </c>
      <c r="F7" s="70">
        <v>4.12</v>
      </c>
      <c r="G7" s="43">
        <f t="shared" si="0"/>
        <v>0</v>
      </c>
      <c r="H7" s="71">
        <v>84728796.769999996</v>
      </c>
      <c r="I7" s="51">
        <v>-2664565.06</v>
      </c>
      <c r="J7" s="39">
        <f t="shared" si="1"/>
        <v>1</v>
      </c>
      <c r="K7" s="48">
        <f>SUM(I7/7)</f>
        <v>-380652.15142857144</v>
      </c>
      <c r="L7" s="41">
        <f t="shared" ref="L7:L20" si="4">+H7/K7</f>
        <v>-222.58851408567219</v>
      </c>
      <c r="M7" s="43">
        <f t="shared" si="3"/>
        <v>0</v>
      </c>
      <c r="N7" s="85">
        <f t="shared" si="2"/>
        <v>1</v>
      </c>
      <c r="O7" s="42">
        <f>'มี.ค.66'!N7</f>
        <v>1</v>
      </c>
      <c r="P7" s="51">
        <v>-1529615.98</v>
      </c>
      <c r="Q7" s="71">
        <v>60882048.600000001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70">
        <v>18.190000000000001</v>
      </c>
      <c r="E8" s="70">
        <v>17.86</v>
      </c>
      <c r="F8" s="70">
        <v>17.260000000000002</v>
      </c>
      <c r="G8" s="43">
        <f t="shared" si="0"/>
        <v>0</v>
      </c>
      <c r="H8" s="71">
        <v>155633042.75</v>
      </c>
      <c r="I8" s="51">
        <v>-5398808.7999999998</v>
      </c>
      <c r="J8" s="39">
        <f t="shared" si="1"/>
        <v>1</v>
      </c>
      <c r="K8" s="48">
        <f t="shared" ref="K8:K19" si="5">SUM(I8/7)</f>
        <v>-771258.4</v>
      </c>
      <c r="L8" s="41">
        <f t="shared" si="4"/>
        <v>-201.79105050914194</v>
      </c>
      <c r="M8" s="43">
        <f t="shared" si="3"/>
        <v>0</v>
      </c>
      <c r="N8" s="85">
        <f t="shared" si="2"/>
        <v>1</v>
      </c>
      <c r="O8" s="42">
        <f>'มี.ค.66'!N8</f>
        <v>1</v>
      </c>
      <c r="P8" s="51">
        <v>-1489169.79</v>
      </c>
      <c r="Q8" s="71">
        <v>147041644.06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70">
        <v>4.57</v>
      </c>
      <c r="E9" s="70">
        <v>4.26</v>
      </c>
      <c r="F9" s="70">
        <v>3.64</v>
      </c>
      <c r="G9" s="43">
        <f t="shared" si="0"/>
        <v>0</v>
      </c>
      <c r="H9" s="71">
        <v>48458404.369999997</v>
      </c>
      <c r="I9" s="51">
        <v>-8064348.9100000001</v>
      </c>
      <c r="J9" s="39">
        <f t="shared" si="1"/>
        <v>1</v>
      </c>
      <c r="K9" s="48">
        <f t="shared" si="5"/>
        <v>-1152049.8442857142</v>
      </c>
      <c r="L9" s="41">
        <f t="shared" si="4"/>
        <v>-42.062767171367341</v>
      </c>
      <c r="M9" s="43">
        <f t="shared" si="3"/>
        <v>0</v>
      </c>
      <c r="N9" s="85">
        <f t="shared" si="2"/>
        <v>1</v>
      </c>
      <c r="O9" s="42">
        <f>'มี.ค.66'!N9</f>
        <v>1</v>
      </c>
      <c r="P9" s="51">
        <v>-4990530.59</v>
      </c>
      <c r="Q9" s="71">
        <v>35819802.380000003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70">
        <v>2.13</v>
      </c>
      <c r="E10" s="72">
        <v>1.96</v>
      </c>
      <c r="F10" s="70">
        <v>1.52</v>
      </c>
      <c r="G10" s="43">
        <f t="shared" si="0"/>
        <v>0</v>
      </c>
      <c r="H10" s="71">
        <v>17672047.129999999</v>
      </c>
      <c r="I10" s="51">
        <v>-6311499.75</v>
      </c>
      <c r="J10" s="39">
        <f t="shared" si="1"/>
        <v>1</v>
      </c>
      <c r="K10" s="48">
        <f t="shared" si="5"/>
        <v>-901642.82142857148</v>
      </c>
      <c r="L10" s="41">
        <f t="shared" si="4"/>
        <v>-19.599831230287222</v>
      </c>
      <c r="M10" s="43">
        <f t="shared" si="3"/>
        <v>0</v>
      </c>
      <c r="N10" s="85">
        <f t="shared" si="2"/>
        <v>1</v>
      </c>
      <c r="O10" s="42">
        <f>'มี.ค.66'!N10</f>
        <v>1</v>
      </c>
      <c r="P10" s="51">
        <v>-4968507.12</v>
      </c>
      <c r="Q10" s="71">
        <v>8140909.3799999999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72">
        <v>6</v>
      </c>
      <c r="E11" s="70">
        <v>5.76</v>
      </c>
      <c r="F11" s="70">
        <v>5.36</v>
      </c>
      <c r="G11" s="43">
        <f t="shared" si="0"/>
        <v>0</v>
      </c>
      <c r="H11" s="71">
        <v>261928727.11000001</v>
      </c>
      <c r="I11" s="51">
        <v>-36782022.920000002</v>
      </c>
      <c r="J11" s="39">
        <f t="shared" si="1"/>
        <v>1</v>
      </c>
      <c r="K11" s="48">
        <f t="shared" si="5"/>
        <v>-5254574.7028571432</v>
      </c>
      <c r="L11" s="41">
        <f t="shared" si="4"/>
        <v>-49.847750183773741</v>
      </c>
      <c r="M11" s="43">
        <f t="shared" si="3"/>
        <v>0</v>
      </c>
      <c r="N11" s="85">
        <f t="shared" si="2"/>
        <v>1</v>
      </c>
      <c r="O11" s="42">
        <f>'มี.ค.66'!N11</f>
        <v>1</v>
      </c>
      <c r="P11" s="55">
        <v>8667051.2899999991</v>
      </c>
      <c r="Q11" s="71">
        <v>226138177.78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70">
        <v>4.42</v>
      </c>
      <c r="E12" s="70">
        <v>4.04</v>
      </c>
      <c r="F12" s="70">
        <v>3.16</v>
      </c>
      <c r="G12" s="43">
        <f t="shared" si="0"/>
        <v>0</v>
      </c>
      <c r="H12" s="71">
        <v>51095977.43</v>
      </c>
      <c r="I12" s="71">
        <v>3384647.3</v>
      </c>
      <c r="J12" s="43">
        <f t="shared" si="1"/>
        <v>0</v>
      </c>
      <c r="K12" s="45">
        <f t="shared" si="5"/>
        <v>483521.04285714281</v>
      </c>
      <c r="L12" s="41">
        <f t="shared" si="4"/>
        <v>105.67477503785993</v>
      </c>
      <c r="M12" s="43">
        <f t="shared" si="3"/>
        <v>0</v>
      </c>
      <c r="N12" s="42">
        <f t="shared" si="2"/>
        <v>0</v>
      </c>
      <c r="O12" s="42">
        <f>'มี.ค.66'!N12</f>
        <v>0</v>
      </c>
      <c r="P12" s="55">
        <v>4519994.46</v>
      </c>
      <c r="Q12" s="71">
        <v>32029974.25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70">
        <v>6.56</v>
      </c>
      <c r="E13" s="70">
        <v>6.34</v>
      </c>
      <c r="F13" s="70">
        <v>5.59</v>
      </c>
      <c r="G13" s="43">
        <f t="shared" si="0"/>
        <v>0</v>
      </c>
      <c r="H13" s="71">
        <v>84151960.090000004</v>
      </c>
      <c r="I13" s="51">
        <v>-10661671.76</v>
      </c>
      <c r="J13" s="39">
        <f t="shared" si="1"/>
        <v>1</v>
      </c>
      <c r="K13" s="48">
        <f t="shared" si="5"/>
        <v>-1523095.9657142856</v>
      </c>
      <c r="L13" s="41">
        <f t="shared" si="4"/>
        <v>-55.250596143845272</v>
      </c>
      <c r="M13" s="43">
        <f t="shared" si="3"/>
        <v>0</v>
      </c>
      <c r="N13" s="85">
        <f t="shared" si="2"/>
        <v>1</v>
      </c>
      <c r="O13" s="42">
        <f>'มี.ค.66'!N13</f>
        <v>1</v>
      </c>
      <c r="P13" s="51">
        <v>-8276475.0700000003</v>
      </c>
      <c r="Q13" s="71">
        <v>69311586.099999994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70">
        <v>6.35</v>
      </c>
      <c r="E14" s="72">
        <v>6.06</v>
      </c>
      <c r="F14" s="70">
        <v>5.16</v>
      </c>
      <c r="G14" s="43">
        <f t="shared" si="0"/>
        <v>0</v>
      </c>
      <c r="H14" s="71">
        <v>73369555.150000006</v>
      </c>
      <c r="I14" s="71">
        <v>2576840.33</v>
      </c>
      <c r="J14" s="43">
        <f t="shared" si="1"/>
        <v>0</v>
      </c>
      <c r="K14" s="45">
        <f t="shared" si="5"/>
        <v>368120.04714285716</v>
      </c>
      <c r="L14" s="41">
        <f t="shared" si="4"/>
        <v>199.30877364450438</v>
      </c>
      <c r="M14" s="43">
        <f t="shared" si="3"/>
        <v>0</v>
      </c>
      <c r="N14" s="42">
        <f t="shared" si="2"/>
        <v>0</v>
      </c>
      <c r="O14" s="42">
        <f>'มี.ค.66'!N14</f>
        <v>0</v>
      </c>
      <c r="P14" s="55">
        <v>5832595.5099999998</v>
      </c>
      <c r="Q14" s="71">
        <v>57030872.259999998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70">
        <v>7.87</v>
      </c>
      <c r="E15" s="70">
        <v>7.43</v>
      </c>
      <c r="F15" s="70">
        <v>6.61</v>
      </c>
      <c r="G15" s="43">
        <f t="shared" si="0"/>
        <v>0</v>
      </c>
      <c r="H15" s="71">
        <v>72001728.579999998</v>
      </c>
      <c r="I15" s="51">
        <v>-4003294.95</v>
      </c>
      <c r="J15" s="39">
        <f t="shared" si="1"/>
        <v>1</v>
      </c>
      <c r="K15" s="48">
        <f t="shared" si="5"/>
        <v>-571899.27857142861</v>
      </c>
      <c r="L15" s="41">
        <f t="shared" si="4"/>
        <v>-125.899317026341</v>
      </c>
      <c r="M15" s="43">
        <f t="shared" si="3"/>
        <v>0</v>
      </c>
      <c r="N15" s="85">
        <f t="shared" si="2"/>
        <v>1</v>
      </c>
      <c r="O15" s="42">
        <f>'มี.ค.66'!N15</f>
        <v>1</v>
      </c>
      <c r="P15" s="51">
        <v>-584146.31000000006</v>
      </c>
      <c r="Q15" s="71">
        <v>58796808.229999997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70">
        <v>5.08</v>
      </c>
      <c r="E16" s="70">
        <v>4.87</v>
      </c>
      <c r="F16" s="70">
        <v>3.99</v>
      </c>
      <c r="G16" s="43">
        <f t="shared" si="0"/>
        <v>0</v>
      </c>
      <c r="H16" s="71">
        <v>163842979.05000001</v>
      </c>
      <c r="I16" s="51">
        <v>-5682048.2199999997</v>
      </c>
      <c r="J16" s="39">
        <f t="shared" si="1"/>
        <v>1</v>
      </c>
      <c r="K16" s="48">
        <f t="shared" si="5"/>
        <v>-811721.17428571428</v>
      </c>
      <c r="L16" s="41">
        <f t="shared" si="4"/>
        <v>-201.8463780918072</v>
      </c>
      <c r="M16" s="43">
        <f t="shared" si="3"/>
        <v>0</v>
      </c>
      <c r="N16" s="85">
        <f t="shared" si="2"/>
        <v>1</v>
      </c>
      <c r="O16" s="42">
        <f>'มี.ค.66'!N16</f>
        <v>0</v>
      </c>
      <c r="P16" s="55">
        <v>2618805.17</v>
      </c>
      <c r="Q16" s="71">
        <v>120202846.5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72">
        <v>4.0999999999999996</v>
      </c>
      <c r="E17" s="70">
        <v>3.9</v>
      </c>
      <c r="F17" s="70">
        <v>3.62</v>
      </c>
      <c r="G17" s="43">
        <f t="shared" si="0"/>
        <v>0</v>
      </c>
      <c r="H17" s="71">
        <v>25227356.309999999</v>
      </c>
      <c r="I17" s="51">
        <v>-1624109.42</v>
      </c>
      <c r="J17" s="39">
        <f t="shared" si="1"/>
        <v>1</v>
      </c>
      <c r="K17" s="48">
        <f t="shared" si="5"/>
        <v>-232015.63142857142</v>
      </c>
      <c r="L17" s="41">
        <f t="shared" si="4"/>
        <v>-108.73127881371441</v>
      </c>
      <c r="M17" s="43">
        <f t="shared" si="3"/>
        <v>0</v>
      </c>
      <c r="N17" s="85">
        <f t="shared" si="2"/>
        <v>1</v>
      </c>
      <c r="O17" s="42">
        <f>'มี.ค.66'!N17</f>
        <v>1</v>
      </c>
      <c r="P17" s="51">
        <v>-359053.37</v>
      </c>
      <c r="Q17" s="71">
        <v>21383505.059999999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70">
        <v>15.98</v>
      </c>
      <c r="E18" s="70">
        <v>15.81</v>
      </c>
      <c r="F18" s="70">
        <v>14.82</v>
      </c>
      <c r="G18" s="43">
        <f t="shared" si="0"/>
        <v>0</v>
      </c>
      <c r="H18" s="71">
        <v>219924182.63</v>
      </c>
      <c r="I18" s="51">
        <v>-6801229.2999999998</v>
      </c>
      <c r="J18" s="39">
        <f t="shared" si="1"/>
        <v>1</v>
      </c>
      <c r="K18" s="48">
        <f t="shared" si="5"/>
        <v>-971604.1857142857</v>
      </c>
      <c r="L18" s="41">
        <f t="shared" si="4"/>
        <v>-226.35162122970917</v>
      </c>
      <c r="M18" s="43">
        <f t="shared" si="3"/>
        <v>0</v>
      </c>
      <c r="N18" s="85">
        <f t="shared" si="2"/>
        <v>1</v>
      </c>
      <c r="O18" s="42">
        <f>'มี.ค.66'!N18</f>
        <v>1</v>
      </c>
      <c r="P18" s="51">
        <v>-3177795.67</v>
      </c>
      <c r="Q18" s="71">
        <v>202843933.52000001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70">
        <v>2.21</v>
      </c>
      <c r="E19" s="70">
        <v>1.96</v>
      </c>
      <c r="F19" s="72">
        <v>1.5</v>
      </c>
      <c r="G19" s="43">
        <f t="shared" si="0"/>
        <v>0</v>
      </c>
      <c r="H19" s="71">
        <v>10777308.08</v>
      </c>
      <c r="I19" s="51">
        <v>-8269620.8300000001</v>
      </c>
      <c r="J19" s="39">
        <f t="shared" si="1"/>
        <v>1</v>
      </c>
      <c r="K19" s="48">
        <f t="shared" si="5"/>
        <v>-1181374.4042857143</v>
      </c>
      <c r="L19" s="41">
        <f t="shared" si="4"/>
        <v>-9.1226862888706357</v>
      </c>
      <c r="M19" s="43">
        <f t="shared" si="3"/>
        <v>0</v>
      </c>
      <c r="N19" s="85">
        <f t="shared" si="2"/>
        <v>1</v>
      </c>
      <c r="O19" s="42">
        <f>'มี.ค.66'!N19</f>
        <v>1</v>
      </c>
      <c r="P19" s="51">
        <v>-6190059.6200000001</v>
      </c>
      <c r="Q19" s="71">
        <v>4434940.8600000003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70">
        <v>3.13</v>
      </c>
      <c r="E20" s="70">
        <v>2.84</v>
      </c>
      <c r="F20" s="70">
        <v>2.0699999999999998</v>
      </c>
      <c r="G20" s="43">
        <f t="shared" si="0"/>
        <v>0</v>
      </c>
      <c r="H20" s="71">
        <v>10516144.289999999</v>
      </c>
      <c r="I20" s="51">
        <v>-4544529.95</v>
      </c>
      <c r="J20" s="39">
        <f t="shared" si="1"/>
        <v>1</v>
      </c>
      <c r="K20" s="48">
        <f>SUM(I20/7)</f>
        <v>-649218.5642857143</v>
      </c>
      <c r="L20" s="41">
        <f t="shared" si="4"/>
        <v>-16.198157089931819</v>
      </c>
      <c r="M20" s="43">
        <f t="shared" si="3"/>
        <v>0</v>
      </c>
      <c r="N20" s="85">
        <f t="shared" si="2"/>
        <v>1</v>
      </c>
      <c r="O20" s="42">
        <f>'มี.ค.66'!N20</f>
        <v>1</v>
      </c>
      <c r="P20" s="51">
        <v>-2085002.12</v>
      </c>
      <c r="Q20" s="71">
        <v>5263894.95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86">
        <f>SUM(H5:H20)</f>
        <v>1864148921.4899998</v>
      </c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87">
        <f>SUM(Q5:Q20)</f>
        <v>1195674701.98</v>
      </c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8" t="s">
        <v>5</v>
      </c>
      <c r="M23" s="128"/>
      <c r="N23" s="12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8"/>
      <c r="M24" s="128"/>
      <c r="N24" s="12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8" t="s">
        <v>5</v>
      </c>
      <c r="M25" s="128"/>
      <c r="N25" s="12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8"/>
      <c r="M26" s="128"/>
      <c r="N26" s="12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9" t="s">
        <v>5</v>
      </c>
      <c r="L27" s="12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8" t="s">
        <v>5</v>
      </c>
      <c r="M30" s="128"/>
      <c r="N30" s="12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8"/>
      <c r="M31" s="128"/>
      <c r="N31" s="12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  <pageSetUpPr fitToPage="1"/>
  </sheetPr>
  <dimension ref="A1:AJ44"/>
  <sheetViews>
    <sheetView zoomScale="80" zoomScaleNormal="80" workbookViewId="0">
      <pane xSplit="3" ySplit="4" topLeftCell="D8" activePane="bottomRight" state="frozen"/>
      <selection activeCell="M6" sqref="M6"/>
      <selection pane="topRight" activeCell="M6" sqref="M6"/>
      <selection pane="bottomLeft" activeCell="M6" sqref="M6"/>
      <selection pane="bottomRight" activeCell="H25" sqref="H2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4" t="s">
        <v>76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P1" s="54" t="s">
        <v>53</v>
      </c>
      <c r="Q1" s="53">
        <v>243417</v>
      </c>
    </row>
    <row r="2" spans="1:25" ht="54.75" customHeight="1" thickBot="1" x14ac:dyDescent="0.3">
      <c r="C2" s="115" t="s">
        <v>41</v>
      </c>
      <c r="D2" s="116" t="s">
        <v>40</v>
      </c>
      <c r="E2" s="116"/>
      <c r="F2" s="116"/>
      <c r="G2" s="116"/>
      <c r="H2" s="117" t="s">
        <v>39</v>
      </c>
      <c r="I2" s="117"/>
      <c r="J2" s="117"/>
      <c r="K2" s="118" t="s">
        <v>38</v>
      </c>
      <c r="L2" s="118"/>
      <c r="M2" s="118"/>
      <c r="N2" s="119" t="s">
        <v>81</v>
      </c>
      <c r="O2" s="134" t="s">
        <v>82</v>
      </c>
      <c r="P2" s="134" t="s">
        <v>56</v>
      </c>
      <c r="Q2" s="121" t="s">
        <v>92</v>
      </c>
    </row>
    <row r="3" spans="1:25" ht="38.25" customHeight="1" thickBot="1" x14ac:dyDescent="0.3">
      <c r="C3" s="115"/>
      <c r="D3" s="122" t="s">
        <v>36</v>
      </c>
      <c r="E3" s="122" t="s">
        <v>35</v>
      </c>
      <c r="F3" s="122" t="s">
        <v>34</v>
      </c>
      <c r="G3" s="123" t="s">
        <v>29</v>
      </c>
      <c r="H3" s="124" t="s">
        <v>33</v>
      </c>
      <c r="I3" s="115" t="s">
        <v>32</v>
      </c>
      <c r="J3" s="125" t="s">
        <v>29</v>
      </c>
      <c r="K3" s="126" t="s">
        <v>31</v>
      </c>
      <c r="L3" s="115" t="s">
        <v>30</v>
      </c>
      <c r="M3" s="120" t="s">
        <v>29</v>
      </c>
      <c r="N3" s="119"/>
      <c r="O3" s="134"/>
      <c r="P3" s="134"/>
      <c r="Q3" s="121"/>
    </row>
    <row r="4" spans="1:25" ht="36.75" customHeight="1" thickBot="1" x14ac:dyDescent="0.3">
      <c r="C4" s="115"/>
      <c r="D4" s="122"/>
      <c r="E4" s="122"/>
      <c r="F4" s="122"/>
      <c r="G4" s="123"/>
      <c r="H4" s="124"/>
      <c r="I4" s="115"/>
      <c r="J4" s="125"/>
      <c r="K4" s="126"/>
      <c r="L4" s="115"/>
      <c r="M4" s="120"/>
      <c r="N4" s="119"/>
      <c r="O4" s="134"/>
      <c r="P4" s="134"/>
      <c r="Q4" s="121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0" t="s">
        <v>28</v>
      </c>
      <c r="D5" s="72">
        <v>2.68</v>
      </c>
      <c r="E5" s="72">
        <v>2.38</v>
      </c>
      <c r="F5" s="72">
        <v>1.18</v>
      </c>
      <c r="G5" s="43">
        <f t="shared" ref="G5:G20" si="0">(IF(D5&lt;1.5,1,0))+(IF(E5&lt;1,1,0))+(IF(F5&lt;0.8,1,0))</f>
        <v>0</v>
      </c>
      <c r="H5" s="71">
        <v>411916608.37</v>
      </c>
      <c r="I5" s="71">
        <v>-14839224.449999999</v>
      </c>
      <c r="J5" s="39">
        <f t="shared" ref="J5:J20" si="1">IF(I5&lt;0,1,0)+IF(H5&lt;0,1,0)</f>
        <v>1</v>
      </c>
      <c r="K5" s="45">
        <f>SUM(I5/8)</f>
        <v>-1854903.0562499999</v>
      </c>
      <c r="L5" s="41">
        <f>+H5/K5</f>
        <v>-222.06907632292064</v>
      </c>
      <c r="M5" s="40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88">
        <f t="shared" ref="N5:N20" si="2">SUM(G5+J5+M5)</f>
        <v>1</v>
      </c>
      <c r="O5" s="88">
        <f>'เม.ย.66'!N5</f>
        <v>0</v>
      </c>
      <c r="P5" s="55">
        <v>26440045.920000002</v>
      </c>
      <c r="Q5" s="71">
        <v>44268732.219999999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0" t="s">
        <v>27</v>
      </c>
      <c r="D6" s="72">
        <v>2.19</v>
      </c>
      <c r="E6" s="72">
        <v>2.0699999999999998</v>
      </c>
      <c r="F6" s="72">
        <v>1.47</v>
      </c>
      <c r="G6" s="43">
        <f t="shared" si="0"/>
        <v>0</v>
      </c>
      <c r="H6" s="71">
        <v>146399677.53</v>
      </c>
      <c r="I6" s="71">
        <v>7600531.0800000001</v>
      </c>
      <c r="J6" s="43">
        <f>IF(I6&lt;0,1,0)+IF(H6&lt;0,1,0)</f>
        <v>0</v>
      </c>
      <c r="K6" s="45">
        <f t="shared" ref="K6:K20" si="3">SUM(I6/8)</f>
        <v>950066.38500000001</v>
      </c>
      <c r="L6" s="41">
        <f>+H6/K6</f>
        <v>154.09415577838806</v>
      </c>
      <c r="M6" s="43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88">
        <f>SUM(G6+J6+M6)</f>
        <v>0</v>
      </c>
      <c r="O6" s="88">
        <f>'เม.ย.66'!N6</f>
        <v>0</v>
      </c>
      <c r="P6" s="55">
        <v>36294692.270000003</v>
      </c>
      <c r="Q6" s="71">
        <v>58231519.149999999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0" t="s">
        <v>26</v>
      </c>
      <c r="D7" s="72">
        <v>5.14</v>
      </c>
      <c r="E7" s="72">
        <v>4.95</v>
      </c>
      <c r="F7" s="72">
        <v>3.93</v>
      </c>
      <c r="G7" s="43">
        <f t="shared" si="0"/>
        <v>0</v>
      </c>
      <c r="H7" s="71">
        <v>80865269.950000003</v>
      </c>
      <c r="I7" s="71">
        <v>-4775514.67</v>
      </c>
      <c r="J7" s="39">
        <f t="shared" si="1"/>
        <v>1</v>
      </c>
      <c r="K7" s="45">
        <f t="shared" si="3"/>
        <v>-596939.33374999999</v>
      </c>
      <c r="L7" s="41">
        <f t="shared" ref="L7:L20" si="5">+H7/K7</f>
        <v>-135.46647938577058</v>
      </c>
      <c r="M7" s="40">
        <f t="shared" si="4"/>
        <v>0</v>
      </c>
      <c r="N7" s="88">
        <f t="shared" si="2"/>
        <v>1</v>
      </c>
      <c r="O7" s="88">
        <f>'เม.ย.66'!N7</f>
        <v>1</v>
      </c>
      <c r="P7" s="55">
        <v>-3351175.21</v>
      </c>
      <c r="Q7" s="71">
        <v>57284341.869999997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0" t="s">
        <v>25</v>
      </c>
      <c r="D8" s="72">
        <v>18.72</v>
      </c>
      <c r="E8" s="72">
        <v>18.34</v>
      </c>
      <c r="F8" s="72">
        <v>17.66</v>
      </c>
      <c r="G8" s="43">
        <f t="shared" si="0"/>
        <v>0</v>
      </c>
      <c r="H8" s="71">
        <v>153480451.91999999</v>
      </c>
      <c r="I8" s="71">
        <v>-8186235.75</v>
      </c>
      <c r="J8" s="39">
        <f t="shared" si="1"/>
        <v>1</v>
      </c>
      <c r="K8" s="45">
        <f t="shared" si="3"/>
        <v>-1023279.46875</v>
      </c>
      <c r="L8" s="41">
        <f t="shared" si="5"/>
        <v>-149.98879251186969</v>
      </c>
      <c r="M8" s="40">
        <f t="shared" si="4"/>
        <v>0</v>
      </c>
      <c r="N8" s="88">
        <f t="shared" si="2"/>
        <v>1</v>
      </c>
      <c r="O8" s="88">
        <f>'เม.ย.66'!N8</f>
        <v>1</v>
      </c>
      <c r="P8" s="55">
        <v>-3589207.64</v>
      </c>
      <c r="Q8" s="71">
        <v>144313658.44999999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0" t="s">
        <v>24</v>
      </c>
      <c r="D9" s="72">
        <v>4.75</v>
      </c>
      <c r="E9" s="72">
        <v>4.3899999999999997</v>
      </c>
      <c r="F9" s="72">
        <v>3.71</v>
      </c>
      <c r="G9" s="43">
        <f t="shared" si="0"/>
        <v>0</v>
      </c>
      <c r="H9" s="71">
        <v>46127841.890000001</v>
      </c>
      <c r="I9" s="71">
        <v>-11175291.34</v>
      </c>
      <c r="J9" s="39">
        <f t="shared" si="1"/>
        <v>1</v>
      </c>
      <c r="K9" s="45">
        <f t="shared" si="3"/>
        <v>-1396911.4175</v>
      </c>
      <c r="L9" s="41">
        <f t="shared" si="5"/>
        <v>-33.021307802432652</v>
      </c>
      <c r="M9" s="40">
        <f t="shared" si="4"/>
        <v>0</v>
      </c>
      <c r="N9" s="88">
        <f t="shared" si="2"/>
        <v>1</v>
      </c>
      <c r="O9" s="88">
        <f>'เม.ย.66'!N9</f>
        <v>1</v>
      </c>
      <c r="P9" s="55">
        <v>-7389965.0700000003</v>
      </c>
      <c r="Q9" s="71">
        <v>33349914.399999999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0" t="s">
        <v>23</v>
      </c>
      <c r="D10" s="72">
        <v>2.25</v>
      </c>
      <c r="E10" s="72">
        <v>2.08</v>
      </c>
      <c r="F10" s="72">
        <v>1.58</v>
      </c>
      <c r="G10" s="43">
        <f t="shared" si="0"/>
        <v>0</v>
      </c>
      <c r="H10" s="71">
        <v>16068188.42</v>
      </c>
      <c r="I10" s="71">
        <v>-8547743.9199999999</v>
      </c>
      <c r="J10" s="39">
        <f t="shared" si="1"/>
        <v>1</v>
      </c>
      <c r="K10" s="45">
        <f t="shared" si="3"/>
        <v>-1068467.99</v>
      </c>
      <c r="L10" s="41">
        <f t="shared" si="5"/>
        <v>-15.038530466411071</v>
      </c>
      <c r="M10" s="40">
        <f t="shared" si="4"/>
        <v>0</v>
      </c>
      <c r="N10" s="88">
        <f t="shared" si="2"/>
        <v>1</v>
      </c>
      <c r="O10" s="88">
        <f>'เม.ย.66'!N10</f>
        <v>1</v>
      </c>
      <c r="P10" s="55">
        <v>-6958395.9500000002</v>
      </c>
      <c r="Q10" s="71">
        <v>7341914.7300000004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0" t="s">
        <v>22</v>
      </c>
      <c r="D11" s="72">
        <v>6.19</v>
      </c>
      <c r="E11" s="72">
        <v>5.96</v>
      </c>
      <c r="F11" s="72">
        <v>5.48</v>
      </c>
      <c r="G11" s="43">
        <f t="shared" si="0"/>
        <v>0</v>
      </c>
      <c r="H11" s="71">
        <v>256745498.77000001</v>
      </c>
      <c r="I11" s="71">
        <v>-48674072.43</v>
      </c>
      <c r="J11" s="39">
        <f t="shared" si="1"/>
        <v>1</v>
      </c>
      <c r="K11" s="45">
        <f t="shared" si="3"/>
        <v>-6084259.05375</v>
      </c>
      <c r="L11" s="41">
        <f t="shared" si="5"/>
        <v>-42.19831806993102</v>
      </c>
      <c r="M11" s="40">
        <f t="shared" si="4"/>
        <v>0</v>
      </c>
      <c r="N11" s="88">
        <f t="shared" si="2"/>
        <v>1</v>
      </c>
      <c r="O11" s="88">
        <f>'เม.ย.66'!N11</f>
        <v>1</v>
      </c>
      <c r="P11" s="55">
        <v>4517089.96</v>
      </c>
      <c r="Q11" s="71">
        <v>219740661.93000001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0" t="s">
        <v>21</v>
      </c>
      <c r="D12" s="72">
        <v>4.49</v>
      </c>
      <c r="E12" s="72">
        <v>4.07</v>
      </c>
      <c r="F12" s="72">
        <v>3.21</v>
      </c>
      <c r="G12" s="43">
        <f t="shared" si="0"/>
        <v>0</v>
      </c>
      <c r="H12" s="71">
        <v>47700452.390000001</v>
      </c>
      <c r="I12" s="71">
        <v>-1314187.82</v>
      </c>
      <c r="J12" s="39">
        <f t="shared" si="1"/>
        <v>1</v>
      </c>
      <c r="K12" s="45">
        <f t="shared" si="3"/>
        <v>-164273.47750000001</v>
      </c>
      <c r="L12" s="41">
        <f t="shared" si="5"/>
        <v>-290.37220807601153</v>
      </c>
      <c r="M12" s="40">
        <f t="shared" si="4"/>
        <v>0</v>
      </c>
      <c r="N12" s="88">
        <f t="shared" si="2"/>
        <v>1</v>
      </c>
      <c r="O12" s="88">
        <f>'เม.ย.66'!N12</f>
        <v>0</v>
      </c>
      <c r="P12" s="55">
        <v>113991.02</v>
      </c>
      <c r="Q12" s="71">
        <v>30246846.690000001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0" t="s">
        <v>20</v>
      </c>
      <c r="D13" s="72">
        <v>8.15</v>
      </c>
      <c r="E13" s="72">
        <v>7.88</v>
      </c>
      <c r="F13" s="72">
        <v>7.09</v>
      </c>
      <c r="G13" s="43">
        <f t="shared" si="0"/>
        <v>0</v>
      </c>
      <c r="H13" s="71">
        <v>82522436.680000007</v>
      </c>
      <c r="I13" s="71">
        <v>-10148612.380000001</v>
      </c>
      <c r="J13" s="39">
        <f t="shared" si="1"/>
        <v>1</v>
      </c>
      <c r="K13" s="45">
        <f t="shared" si="3"/>
        <v>-1268576.5475000001</v>
      </c>
      <c r="L13" s="41">
        <f t="shared" si="5"/>
        <v>-65.051207861778636</v>
      </c>
      <c r="M13" s="40">
        <f t="shared" si="4"/>
        <v>0</v>
      </c>
      <c r="N13" s="88">
        <f t="shared" si="2"/>
        <v>1</v>
      </c>
      <c r="O13" s="88">
        <f>'เม.ย.66'!N13</f>
        <v>1</v>
      </c>
      <c r="P13" s="55">
        <v>-7339724.2999999998</v>
      </c>
      <c r="Q13" s="71">
        <v>70142561.730000004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0" t="s">
        <v>19</v>
      </c>
      <c r="D14" s="72">
        <v>6.62</v>
      </c>
      <c r="E14" s="72">
        <v>6.31</v>
      </c>
      <c r="F14" s="72">
        <v>5.32</v>
      </c>
      <c r="G14" s="43">
        <f t="shared" si="0"/>
        <v>0</v>
      </c>
      <c r="H14" s="71">
        <v>72600051.299999997</v>
      </c>
      <c r="I14" s="71">
        <v>902606.16</v>
      </c>
      <c r="J14" s="43">
        <f t="shared" si="1"/>
        <v>0</v>
      </c>
      <c r="K14" s="45">
        <f t="shared" si="3"/>
        <v>112825.77</v>
      </c>
      <c r="L14" s="41">
        <f t="shared" si="5"/>
        <v>643.47047044305566</v>
      </c>
      <c r="M14" s="40">
        <f t="shared" si="4"/>
        <v>0</v>
      </c>
      <c r="N14" s="88">
        <f t="shared" si="2"/>
        <v>0</v>
      </c>
      <c r="O14" s="88">
        <f>'เม.ย.66'!N14</f>
        <v>0</v>
      </c>
      <c r="P14" s="55">
        <v>4490533.93</v>
      </c>
      <c r="Q14" s="71">
        <v>55765364.640000001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0" t="s">
        <v>18</v>
      </c>
      <c r="D15" s="72">
        <v>7.4</v>
      </c>
      <c r="E15" s="72">
        <v>6.92</v>
      </c>
      <c r="F15" s="72">
        <v>6.18</v>
      </c>
      <c r="G15" s="43">
        <f t="shared" si="0"/>
        <v>0</v>
      </c>
      <c r="H15" s="71">
        <v>68848347.379999995</v>
      </c>
      <c r="I15" s="71">
        <v>-7632300.0099999998</v>
      </c>
      <c r="J15" s="39">
        <f t="shared" si="1"/>
        <v>1</v>
      </c>
      <c r="K15" s="45">
        <f t="shared" si="3"/>
        <v>-954037.50124999997</v>
      </c>
      <c r="L15" s="41">
        <f t="shared" si="5"/>
        <v>-72.16524223606875</v>
      </c>
      <c r="M15" s="40">
        <f t="shared" si="4"/>
        <v>0</v>
      </c>
      <c r="N15" s="88">
        <f t="shared" si="2"/>
        <v>1</v>
      </c>
      <c r="O15" s="88">
        <f>'เม.ย.66'!N15</f>
        <v>1</v>
      </c>
      <c r="P15" s="55">
        <v>-3672791.24</v>
      </c>
      <c r="Q15" s="71">
        <v>55678788.009999998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0" t="s">
        <v>17</v>
      </c>
      <c r="D16" s="72">
        <v>5.25</v>
      </c>
      <c r="E16" s="72">
        <v>5.05</v>
      </c>
      <c r="F16" s="72">
        <v>3.98</v>
      </c>
      <c r="G16" s="43">
        <f t="shared" si="0"/>
        <v>0</v>
      </c>
      <c r="H16" s="71">
        <v>160352037.50999999</v>
      </c>
      <c r="I16" s="71">
        <v>-10687126.609999999</v>
      </c>
      <c r="J16" s="39">
        <f t="shared" si="1"/>
        <v>1</v>
      </c>
      <c r="K16" s="45">
        <f t="shared" si="3"/>
        <v>-1335890.8262499999</v>
      </c>
      <c r="L16" s="41">
        <f t="shared" si="5"/>
        <v>-120.03378895873303</v>
      </c>
      <c r="M16" s="40">
        <f t="shared" si="4"/>
        <v>0</v>
      </c>
      <c r="N16" s="88">
        <f t="shared" si="2"/>
        <v>1</v>
      </c>
      <c r="O16" s="88">
        <f>'เม.ย.66'!N16</f>
        <v>1</v>
      </c>
      <c r="P16" s="55">
        <v>-503322.14</v>
      </c>
      <c r="Q16" s="71">
        <v>112375960.87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0" t="s">
        <v>16</v>
      </c>
      <c r="D17" s="72">
        <v>4.5599999999999996</v>
      </c>
      <c r="E17" s="72">
        <v>4.3499999999999996</v>
      </c>
      <c r="F17" s="72">
        <v>4.07</v>
      </c>
      <c r="G17" s="43">
        <f t="shared" si="0"/>
        <v>0</v>
      </c>
      <c r="H17" s="71">
        <v>23757968.260000002</v>
      </c>
      <c r="I17" s="71">
        <v>-3328394.9</v>
      </c>
      <c r="J17" s="39">
        <f t="shared" si="1"/>
        <v>1</v>
      </c>
      <c r="K17" s="45">
        <f t="shared" si="3"/>
        <v>-416049.36249999999</v>
      </c>
      <c r="L17" s="41">
        <f t="shared" si="5"/>
        <v>-57.103724705262593</v>
      </c>
      <c r="M17" s="40">
        <f t="shared" si="4"/>
        <v>0</v>
      </c>
      <c r="N17" s="88">
        <f t="shared" si="2"/>
        <v>1</v>
      </c>
      <c r="O17" s="88">
        <f>'เม.ย.66'!N17</f>
        <v>1</v>
      </c>
      <c r="P17" s="55">
        <v>-3116179.42</v>
      </c>
      <c r="Q17" s="71">
        <v>20503209.510000002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0" t="s">
        <v>15</v>
      </c>
      <c r="D18" s="72">
        <v>15.04</v>
      </c>
      <c r="E18" s="72">
        <v>14.87</v>
      </c>
      <c r="F18" s="72">
        <v>14.07</v>
      </c>
      <c r="G18" s="43">
        <f t="shared" si="0"/>
        <v>0</v>
      </c>
      <c r="H18" s="71">
        <v>215096062.77000001</v>
      </c>
      <c r="I18" s="71">
        <v>-8867417.9499999993</v>
      </c>
      <c r="J18" s="39">
        <f t="shared" si="1"/>
        <v>1</v>
      </c>
      <c r="K18" s="45">
        <f t="shared" si="3"/>
        <v>-1108427.2437499999</v>
      </c>
      <c r="L18" s="41">
        <f t="shared" si="5"/>
        <v>-194.05519305199775</v>
      </c>
      <c r="M18" s="40">
        <f t="shared" si="4"/>
        <v>0</v>
      </c>
      <c r="N18" s="88">
        <f t="shared" si="2"/>
        <v>1</v>
      </c>
      <c r="O18" s="88">
        <f>'เม.ย.66'!N18</f>
        <v>1</v>
      </c>
      <c r="P18" s="55">
        <v>-4992467.63</v>
      </c>
      <c r="Q18" s="71">
        <v>200225885.56999999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0" t="s">
        <v>14</v>
      </c>
      <c r="D19" s="72">
        <v>1.82</v>
      </c>
      <c r="E19" s="72">
        <v>1.55</v>
      </c>
      <c r="F19" s="72">
        <v>1.1000000000000001</v>
      </c>
      <c r="G19" s="43">
        <f t="shared" si="0"/>
        <v>0</v>
      </c>
      <c r="H19" s="71">
        <v>7673717.2800000003</v>
      </c>
      <c r="I19" s="71">
        <v>-11066034.789999999</v>
      </c>
      <c r="J19" s="39">
        <f t="shared" si="1"/>
        <v>1</v>
      </c>
      <c r="K19" s="45">
        <f t="shared" si="3"/>
        <v>-1383254.3487499999</v>
      </c>
      <c r="L19" s="41">
        <f t="shared" si="5"/>
        <v>-5.547582255522622</v>
      </c>
      <c r="M19" s="39">
        <f>IF(AND(I19&lt;0,H19&lt;0),2,IF(AND(I19&gt;0,H19&gt;0),0,IF(AND(H19&lt;0,I19&gt;0),IF(ABS((H19/(I19/8)))&lt;3,0,IF(ABS((H19/(I19/8)))&gt;6,2,1)),IF(AND(H19&gt;0,I19&lt;0),IF(ABS((H19/(I19/8)))&lt;3,2,IF(ABS((H19/(I19/8)))&gt;6,0,1))))))</f>
        <v>1</v>
      </c>
      <c r="N19" s="89">
        <f t="shared" si="2"/>
        <v>2</v>
      </c>
      <c r="O19" s="88">
        <f>'เม.ย.66'!N19</f>
        <v>1</v>
      </c>
      <c r="P19" s="55">
        <v>-8653561.9800000004</v>
      </c>
      <c r="Q19" s="71">
        <v>876493.04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0" t="s">
        <v>13</v>
      </c>
      <c r="D20" s="72">
        <v>2.74</v>
      </c>
      <c r="E20" s="72">
        <v>2.44</v>
      </c>
      <c r="F20" s="72">
        <v>1.64</v>
      </c>
      <c r="G20" s="43">
        <f t="shared" si="0"/>
        <v>0</v>
      </c>
      <c r="H20" s="71">
        <v>8371240.5800000001</v>
      </c>
      <c r="I20" s="71">
        <v>-6729313.3799999999</v>
      </c>
      <c r="J20" s="39">
        <f t="shared" si="1"/>
        <v>1</v>
      </c>
      <c r="K20" s="45">
        <f t="shared" si="3"/>
        <v>-841164.17249999999</v>
      </c>
      <c r="L20" s="41">
        <f t="shared" si="5"/>
        <v>-9.9519699645790602</v>
      </c>
      <c r="M20" s="40">
        <f t="shared" si="4"/>
        <v>0</v>
      </c>
      <c r="N20" s="88">
        <f t="shared" si="2"/>
        <v>1</v>
      </c>
      <c r="O20" s="88">
        <f>'เม.ย.66'!N20</f>
        <v>1</v>
      </c>
      <c r="P20" s="55">
        <v>-3876110.07</v>
      </c>
      <c r="Q20" s="71">
        <v>3063985.21</v>
      </c>
      <c r="S20" s="8"/>
      <c r="V20" s="9"/>
      <c r="W20" s="10"/>
      <c r="X20" s="10"/>
      <c r="Y20" s="9"/>
    </row>
    <row r="21" spans="1:25" ht="20.25" customHeight="1" x14ac:dyDescent="0.35">
      <c r="C21" s="11"/>
      <c r="D21" s="11"/>
      <c r="E21" s="11"/>
      <c r="F21" s="11"/>
      <c r="G21" s="11"/>
      <c r="H21" s="86">
        <f>SUM(H5:H20)</f>
        <v>1798525850.9999998</v>
      </c>
      <c r="I21" s="86">
        <f t="shared" ref="I21:Q21" si="6">SUM(I5:I20)</f>
        <v>-147468333.16</v>
      </c>
      <c r="J21" s="86"/>
      <c r="K21" s="86"/>
      <c r="L21" s="86">
        <f t="shared" si="6"/>
        <v>-614.49879544784585</v>
      </c>
      <c r="M21" s="86"/>
      <c r="N21" s="86"/>
      <c r="O21" s="86"/>
      <c r="P21" s="86">
        <f t="shared" si="6"/>
        <v>18413452.450000003</v>
      </c>
      <c r="Q21" s="86">
        <f t="shared" si="6"/>
        <v>1113409838.02</v>
      </c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8" t="s">
        <v>5</v>
      </c>
      <c r="M23" s="128"/>
      <c r="N23" s="12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8"/>
      <c r="M24" s="128"/>
      <c r="N24" s="12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8" t="s">
        <v>5</v>
      </c>
      <c r="M25" s="128"/>
      <c r="N25" s="12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8"/>
      <c r="M26" s="128"/>
      <c r="N26" s="12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9" t="s">
        <v>5</v>
      </c>
      <c r="L27" s="12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8" t="s">
        <v>5</v>
      </c>
      <c r="M30" s="128"/>
      <c r="N30" s="12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8"/>
      <c r="M31" s="128"/>
      <c r="N31" s="12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D5:D20">
    <cfRule type="cellIs" dxfId="15" priority="8" operator="lessThan">
      <formula>1.49</formula>
    </cfRule>
  </conditionalFormatting>
  <conditionalFormatting sqref="E5:E20">
    <cfRule type="cellIs" dxfId="14" priority="9" operator="lessThan">
      <formula>0.99</formula>
    </cfRule>
  </conditionalFormatting>
  <conditionalFormatting sqref="F5:F20">
    <cfRule type="cellIs" dxfId="13" priority="10" operator="lessThan">
      <formula>0.79</formula>
    </cfRule>
  </conditionalFormatting>
  <conditionalFormatting sqref="G5:G20">
    <cfRule type="cellIs" dxfId="12" priority="7" operator="greaterThan">
      <formula>0</formula>
    </cfRule>
  </conditionalFormatting>
  <conditionalFormatting sqref="N5">
    <cfRule type="cellIs" dxfId="11" priority="1" operator="greaterThan">
      <formula>0</formula>
    </cfRule>
  </conditionalFormatting>
  <conditionalFormatting sqref="N6:O18 O19 N20:O20">
    <cfRule type="cellIs" dxfId="10" priority="2" operator="greaterThan">
      <formula>0</formula>
    </cfRule>
  </conditionalFormatting>
  <conditionalFormatting sqref="O5">
    <cfRule type="cellIs" dxfId="9" priority="5" operator="greaterThan">
      <formula>1</formula>
    </cfRule>
    <cfRule type="cellIs" dxfId="8" priority="6" operator="greaterThan">
      <formula>0</formula>
    </cfRule>
  </conditionalFormatting>
  <conditionalFormatting sqref="O5:Q5 H5:I20 K5:L20 P6:Q20">
    <cfRule type="cellIs" dxfId="7" priority="11" operator="lessThan">
      <formula>0</formula>
    </cfRule>
    <cfRule type="cellIs" dxfId="6" priority="12" operator="lessThan">
      <formula>0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Q19" sqref="Q19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4" t="s">
        <v>83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36" t="s">
        <v>53</v>
      </c>
      <c r="P1" s="52">
        <v>243448</v>
      </c>
      <c r="Q1" s="38"/>
    </row>
    <row r="2" spans="1:25" ht="54.75" customHeight="1" thickBot="1" x14ac:dyDescent="0.3">
      <c r="C2" s="115" t="s">
        <v>41</v>
      </c>
      <c r="D2" s="116" t="s">
        <v>40</v>
      </c>
      <c r="E2" s="116"/>
      <c r="F2" s="116"/>
      <c r="G2" s="116"/>
      <c r="H2" s="117" t="s">
        <v>39</v>
      </c>
      <c r="I2" s="117"/>
      <c r="J2" s="117"/>
      <c r="K2" s="118" t="s">
        <v>38</v>
      </c>
      <c r="L2" s="118"/>
      <c r="M2" s="118"/>
      <c r="N2" s="119" t="s">
        <v>84</v>
      </c>
      <c r="O2" s="134" t="s">
        <v>85</v>
      </c>
      <c r="P2" s="134" t="s">
        <v>56</v>
      </c>
      <c r="Q2" s="130" t="s">
        <v>61</v>
      </c>
    </row>
    <row r="3" spans="1:25" ht="38.25" customHeight="1" thickBot="1" x14ac:dyDescent="0.3">
      <c r="C3" s="115"/>
      <c r="D3" s="122" t="s">
        <v>36</v>
      </c>
      <c r="E3" s="122" t="s">
        <v>35</v>
      </c>
      <c r="F3" s="122" t="s">
        <v>34</v>
      </c>
      <c r="G3" s="123" t="s">
        <v>29</v>
      </c>
      <c r="H3" s="124" t="s">
        <v>33</v>
      </c>
      <c r="I3" s="115" t="s">
        <v>32</v>
      </c>
      <c r="J3" s="125" t="s">
        <v>29</v>
      </c>
      <c r="K3" s="126" t="s">
        <v>31</v>
      </c>
      <c r="L3" s="115" t="s">
        <v>30</v>
      </c>
      <c r="M3" s="120" t="s">
        <v>29</v>
      </c>
      <c r="N3" s="119"/>
      <c r="O3" s="134"/>
      <c r="P3" s="134"/>
      <c r="Q3" s="130"/>
    </row>
    <row r="4" spans="1:25" ht="36.75" customHeight="1" thickBot="1" x14ac:dyDescent="0.3">
      <c r="C4" s="115"/>
      <c r="D4" s="122"/>
      <c r="E4" s="122"/>
      <c r="F4" s="122"/>
      <c r="G4" s="123"/>
      <c r="H4" s="124"/>
      <c r="I4" s="115"/>
      <c r="J4" s="125"/>
      <c r="K4" s="126"/>
      <c r="L4" s="115"/>
      <c r="M4" s="120"/>
      <c r="N4" s="119"/>
      <c r="O4" s="134"/>
      <c r="P4" s="134"/>
      <c r="Q4" s="130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4">
        <v>1</v>
      </c>
      <c r="C5" s="58" t="s">
        <v>28</v>
      </c>
      <c r="D5" s="75">
        <v>2.5299999999999998</v>
      </c>
      <c r="E5" s="75">
        <v>2.27</v>
      </c>
      <c r="F5" s="75">
        <v>1.1399999999999999</v>
      </c>
      <c r="G5" s="59">
        <f t="shared" ref="G5:G20" si="0">(IF(D5&lt;1.5,1,0))+(IF(E5&lt;1,1,0))+(IF(F5&lt;0.8,1,0))</f>
        <v>0</v>
      </c>
      <c r="H5" s="74">
        <v>380381375.12</v>
      </c>
      <c r="I5" s="63">
        <v>-51064965.659999996</v>
      </c>
      <c r="J5" s="92">
        <f t="shared" ref="J5:J20" si="1">IF(I5&lt;0,1,0)+IF(H5&lt;0,1,0)</f>
        <v>1</v>
      </c>
      <c r="K5" s="91">
        <f>SUM(I5/9)</f>
        <v>-5673885.0733333332</v>
      </c>
      <c r="L5" s="61">
        <f>+H5/K5</f>
        <v>-67.040726099256517</v>
      </c>
      <c r="M5" s="59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73">
        <f t="shared" ref="N5:N20" si="2">SUM(G5+J5+M5)</f>
        <v>1</v>
      </c>
      <c r="O5" s="62">
        <f>'พ.ค.66'!N5</f>
        <v>1</v>
      </c>
      <c r="P5" s="63">
        <v>-2555704.3199999998</v>
      </c>
      <c r="Q5" s="64">
        <v>33733517.329999998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4">
        <v>2</v>
      </c>
      <c r="C6" s="58" t="s">
        <v>27</v>
      </c>
      <c r="D6" s="75">
        <v>2.27</v>
      </c>
      <c r="E6" s="75">
        <v>2.15</v>
      </c>
      <c r="F6" s="75">
        <v>1.5</v>
      </c>
      <c r="G6" s="59">
        <f t="shared" si="0"/>
        <v>0</v>
      </c>
      <c r="H6" s="74">
        <v>148310392.06</v>
      </c>
      <c r="I6" s="74">
        <v>5282029.95</v>
      </c>
      <c r="J6" s="59">
        <f>IF(I6&lt;0,1,0)+IF(H6&lt;0,1,0)</f>
        <v>0</v>
      </c>
      <c r="K6" s="60">
        <f t="shared" ref="K6:K20" si="3">SUM(I6/9)</f>
        <v>586892.21666666667</v>
      </c>
      <c r="L6" s="61">
        <f>+H6/K6</f>
        <v>252.70464976064741</v>
      </c>
      <c r="M6" s="59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73">
        <f>SUM(G6+J6+M6)</f>
        <v>0</v>
      </c>
      <c r="O6" s="62">
        <f>'พ.ค.66'!N6</f>
        <v>0</v>
      </c>
      <c r="P6" s="74">
        <v>40224994.890000001</v>
      </c>
      <c r="Q6" s="74">
        <v>58031965.710000001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4">
        <v>3</v>
      </c>
      <c r="C7" s="58" t="s">
        <v>26</v>
      </c>
      <c r="D7" s="75">
        <v>4.58</v>
      </c>
      <c r="E7" s="75">
        <v>4.4000000000000004</v>
      </c>
      <c r="F7" s="75">
        <v>3.47</v>
      </c>
      <c r="G7" s="59">
        <f t="shared" si="0"/>
        <v>0</v>
      </c>
      <c r="H7" s="74">
        <v>78601935.030000001</v>
      </c>
      <c r="I7" s="63">
        <v>-7582316.6200000001</v>
      </c>
      <c r="J7" s="92">
        <f t="shared" si="1"/>
        <v>1</v>
      </c>
      <c r="K7" s="91">
        <f t="shared" si="3"/>
        <v>-842479.62444444443</v>
      </c>
      <c r="L7" s="61">
        <f t="shared" ref="L7:L20" si="5">+H7/K7</f>
        <v>-93.298321703426836</v>
      </c>
      <c r="M7" s="59">
        <f t="shared" si="4"/>
        <v>0</v>
      </c>
      <c r="N7" s="73">
        <f t="shared" si="2"/>
        <v>1</v>
      </c>
      <c r="O7" s="62">
        <f>'พ.ค.66'!N7</f>
        <v>1</v>
      </c>
      <c r="P7" s="63">
        <v>-5868586.7800000003</v>
      </c>
      <c r="Q7" s="74">
        <v>54262206.609999999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4">
        <v>4</v>
      </c>
      <c r="C8" s="58" t="s">
        <v>25</v>
      </c>
      <c r="D8" s="75">
        <v>17.850000000000001</v>
      </c>
      <c r="E8" s="75">
        <v>17.55</v>
      </c>
      <c r="F8" s="75">
        <v>16.97</v>
      </c>
      <c r="G8" s="59">
        <f t="shared" si="0"/>
        <v>0</v>
      </c>
      <c r="H8" s="74">
        <v>150506369.55000001</v>
      </c>
      <c r="I8" s="63">
        <v>-11472372.85</v>
      </c>
      <c r="J8" s="92">
        <f t="shared" si="1"/>
        <v>1</v>
      </c>
      <c r="K8" s="91">
        <f t="shared" si="3"/>
        <v>-1274708.0944444444</v>
      </c>
      <c r="L8" s="61">
        <f t="shared" si="5"/>
        <v>-118.0712432955838</v>
      </c>
      <c r="M8" s="59">
        <f t="shared" si="4"/>
        <v>0</v>
      </c>
      <c r="N8" s="73">
        <f t="shared" si="2"/>
        <v>1</v>
      </c>
      <c r="O8" s="62">
        <f>'พ.ค.66'!N8</f>
        <v>1</v>
      </c>
      <c r="P8" s="63">
        <v>-6186897.4900000002</v>
      </c>
      <c r="Q8" s="74">
        <v>142566853.72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4">
        <v>5</v>
      </c>
      <c r="C9" s="58" t="s">
        <v>24</v>
      </c>
      <c r="D9" s="75">
        <v>4.8</v>
      </c>
      <c r="E9" s="75">
        <v>4.43</v>
      </c>
      <c r="F9" s="75">
        <v>3.72</v>
      </c>
      <c r="G9" s="59">
        <f t="shared" si="0"/>
        <v>0</v>
      </c>
      <c r="H9" s="74">
        <v>43315012.630000003</v>
      </c>
      <c r="I9" s="63">
        <v>-14649628.550000001</v>
      </c>
      <c r="J9" s="92">
        <f t="shared" si="1"/>
        <v>1</v>
      </c>
      <c r="K9" s="91">
        <f t="shared" si="3"/>
        <v>-1627736.5055555557</v>
      </c>
      <c r="L9" s="61">
        <f t="shared" si="5"/>
        <v>-26.610580079861478</v>
      </c>
      <c r="M9" s="59">
        <f t="shared" si="4"/>
        <v>0</v>
      </c>
      <c r="N9" s="73">
        <f t="shared" si="2"/>
        <v>1</v>
      </c>
      <c r="O9" s="62">
        <f>'พ.ค.66'!N9</f>
        <v>1</v>
      </c>
      <c r="P9" s="63">
        <v>-10152794.33</v>
      </c>
      <c r="Q9" s="74">
        <v>30979780.219999999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4">
        <v>6</v>
      </c>
      <c r="C10" s="58" t="s">
        <v>23</v>
      </c>
      <c r="D10" s="75">
        <v>2.12</v>
      </c>
      <c r="E10" s="75">
        <v>1.93</v>
      </c>
      <c r="F10" s="75">
        <v>1.5</v>
      </c>
      <c r="G10" s="59">
        <f t="shared" si="0"/>
        <v>0</v>
      </c>
      <c r="H10" s="74">
        <v>13707127.140000001</v>
      </c>
      <c r="I10" s="63">
        <v>-10752881.84</v>
      </c>
      <c r="J10" s="92">
        <f t="shared" si="1"/>
        <v>1</v>
      </c>
      <c r="K10" s="91">
        <f t="shared" si="3"/>
        <v>-1194764.6488888888</v>
      </c>
      <c r="L10" s="61">
        <f t="shared" si="5"/>
        <v>-11.472658780745983</v>
      </c>
      <c r="M10" s="59">
        <f t="shared" si="4"/>
        <v>0</v>
      </c>
      <c r="N10" s="73">
        <f t="shared" si="2"/>
        <v>1</v>
      </c>
      <c r="O10" s="62">
        <f>'พ.ค.66'!N10</f>
        <v>1</v>
      </c>
      <c r="P10" s="63">
        <v>-8927429.9399999995</v>
      </c>
      <c r="Q10" s="74">
        <v>6097551.2199999997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4">
        <v>7</v>
      </c>
      <c r="C11" s="58" t="s">
        <v>22</v>
      </c>
      <c r="D11" s="75">
        <v>5.65</v>
      </c>
      <c r="E11" s="75">
        <v>5.44</v>
      </c>
      <c r="F11" s="75">
        <v>4.9800000000000004</v>
      </c>
      <c r="G11" s="59">
        <f t="shared" si="0"/>
        <v>0</v>
      </c>
      <c r="H11" s="74">
        <v>246414581.38</v>
      </c>
      <c r="I11" s="63">
        <v>-62773003.469999999</v>
      </c>
      <c r="J11" s="92">
        <f t="shared" si="1"/>
        <v>1</v>
      </c>
      <c r="K11" s="91">
        <f t="shared" si="3"/>
        <v>-6974778.1633333331</v>
      </c>
      <c r="L11" s="61">
        <f t="shared" si="5"/>
        <v>-35.329379029631447</v>
      </c>
      <c r="M11" s="59">
        <f t="shared" si="4"/>
        <v>0</v>
      </c>
      <c r="N11" s="73">
        <f t="shared" si="2"/>
        <v>1</v>
      </c>
      <c r="O11" s="62">
        <f>'พ.ค.66'!N11</f>
        <v>1</v>
      </c>
      <c r="P11" s="63">
        <v>-1839752.9</v>
      </c>
      <c r="Q11" s="74">
        <v>208798830.77000001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4">
        <v>8</v>
      </c>
      <c r="C12" s="58" t="s">
        <v>21</v>
      </c>
      <c r="D12" s="75">
        <v>4.6100000000000003</v>
      </c>
      <c r="E12" s="75">
        <v>4.16</v>
      </c>
      <c r="F12" s="75">
        <v>3.07</v>
      </c>
      <c r="G12" s="59">
        <f t="shared" si="0"/>
        <v>0</v>
      </c>
      <c r="H12" s="74">
        <v>44492593.329999998</v>
      </c>
      <c r="I12" s="63">
        <v>-4579032.9400000004</v>
      </c>
      <c r="J12" s="92">
        <f t="shared" si="1"/>
        <v>1</v>
      </c>
      <c r="K12" s="91">
        <f t="shared" si="3"/>
        <v>-508781.43777777784</v>
      </c>
      <c r="L12" s="61">
        <f t="shared" si="5"/>
        <v>-87.449325046785958</v>
      </c>
      <c r="M12" s="59">
        <f t="shared" si="4"/>
        <v>0</v>
      </c>
      <c r="N12" s="73">
        <f t="shared" si="2"/>
        <v>1</v>
      </c>
      <c r="O12" s="62">
        <f>'พ.ค.66'!N12</f>
        <v>1</v>
      </c>
      <c r="P12" s="63">
        <v>-2858022.42</v>
      </c>
      <c r="Q12" s="74">
        <v>25483550.579999998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4">
        <v>9</v>
      </c>
      <c r="C13" s="58" t="s">
        <v>20</v>
      </c>
      <c r="D13" s="75">
        <v>9.85</v>
      </c>
      <c r="E13" s="75">
        <v>9.56</v>
      </c>
      <c r="F13" s="75">
        <v>8.51</v>
      </c>
      <c r="G13" s="59">
        <f t="shared" si="0"/>
        <v>0</v>
      </c>
      <c r="H13" s="74">
        <v>80183317.450000003</v>
      </c>
      <c r="I13" s="63">
        <v>-12963875.939999999</v>
      </c>
      <c r="J13" s="92">
        <f t="shared" si="1"/>
        <v>1</v>
      </c>
      <c r="K13" s="91">
        <f t="shared" si="3"/>
        <v>-1440430.66</v>
      </c>
      <c r="L13" s="61">
        <f t="shared" si="5"/>
        <v>-55.666211277396727</v>
      </c>
      <c r="M13" s="59">
        <f t="shared" si="4"/>
        <v>0</v>
      </c>
      <c r="N13" s="73">
        <f t="shared" si="2"/>
        <v>1</v>
      </c>
      <c r="O13" s="62">
        <f>'พ.ค.66'!N13</f>
        <v>1</v>
      </c>
      <c r="P13" s="63">
        <v>-9742492.0800000001</v>
      </c>
      <c r="Q13" s="74">
        <v>67789797.859999999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4">
        <v>10</v>
      </c>
      <c r="C14" s="58" t="s">
        <v>19</v>
      </c>
      <c r="D14" s="75">
        <v>5.93</v>
      </c>
      <c r="E14" s="75">
        <v>5.67</v>
      </c>
      <c r="F14" s="75">
        <v>4.78</v>
      </c>
      <c r="G14" s="59">
        <f t="shared" si="0"/>
        <v>0</v>
      </c>
      <c r="H14" s="74">
        <v>69195151.790000007</v>
      </c>
      <c r="I14" s="63">
        <v>-2113924.35</v>
      </c>
      <c r="J14" s="92">
        <f t="shared" si="1"/>
        <v>1</v>
      </c>
      <c r="K14" s="91">
        <f t="shared" si="3"/>
        <v>-234880.48333333334</v>
      </c>
      <c r="L14" s="61">
        <f t="shared" si="5"/>
        <v>-294.59728117044494</v>
      </c>
      <c r="M14" s="59">
        <f t="shared" si="4"/>
        <v>0</v>
      </c>
      <c r="N14" s="73">
        <f t="shared" si="2"/>
        <v>1</v>
      </c>
      <c r="O14" s="62">
        <f>'พ.ค.66'!N14</f>
        <v>0</v>
      </c>
      <c r="P14" s="74">
        <v>1818666</v>
      </c>
      <c r="Q14" s="74">
        <v>53077761.039999999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4">
        <v>11</v>
      </c>
      <c r="C15" s="58" t="s">
        <v>18</v>
      </c>
      <c r="D15" s="75">
        <v>6.96</v>
      </c>
      <c r="E15" s="75">
        <v>6.52</v>
      </c>
      <c r="F15" s="75">
        <v>5.8</v>
      </c>
      <c r="G15" s="59">
        <f t="shared" si="0"/>
        <v>0</v>
      </c>
      <c r="H15" s="74">
        <v>65503518.799999997</v>
      </c>
      <c r="I15" s="63">
        <v>-11180587.41</v>
      </c>
      <c r="J15" s="92">
        <f t="shared" si="1"/>
        <v>1</v>
      </c>
      <c r="K15" s="91">
        <f t="shared" si="3"/>
        <v>-1242287.49</v>
      </c>
      <c r="L15" s="61">
        <f t="shared" si="5"/>
        <v>-52.728148135823211</v>
      </c>
      <c r="M15" s="59">
        <f t="shared" si="4"/>
        <v>0</v>
      </c>
      <c r="N15" s="73">
        <f t="shared" si="2"/>
        <v>1</v>
      </c>
      <c r="O15" s="62">
        <f>'พ.ค.66'!N15</f>
        <v>1</v>
      </c>
      <c r="P15" s="63">
        <v>-6670693.5099999998</v>
      </c>
      <c r="Q15" s="74">
        <v>52772176.350000001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4">
        <v>12</v>
      </c>
      <c r="C16" s="58" t="s">
        <v>17</v>
      </c>
      <c r="D16" s="75">
        <v>6.22</v>
      </c>
      <c r="E16" s="75">
        <v>5.93</v>
      </c>
      <c r="F16" s="75">
        <v>4.9400000000000004</v>
      </c>
      <c r="G16" s="59">
        <f t="shared" si="0"/>
        <v>0</v>
      </c>
      <c r="H16" s="74">
        <v>142726949.81</v>
      </c>
      <c r="I16" s="63">
        <v>-23742649.18</v>
      </c>
      <c r="J16" s="92">
        <f t="shared" si="1"/>
        <v>1</v>
      </c>
      <c r="K16" s="91">
        <f t="shared" si="3"/>
        <v>-2638072.131111111</v>
      </c>
      <c r="L16" s="61">
        <f t="shared" si="5"/>
        <v>-54.102747277757658</v>
      </c>
      <c r="M16" s="59">
        <f t="shared" si="4"/>
        <v>0</v>
      </c>
      <c r="N16" s="73">
        <f t="shared" si="2"/>
        <v>1</v>
      </c>
      <c r="O16" s="62">
        <f>'พ.ค.66'!N16</f>
        <v>1</v>
      </c>
      <c r="P16" s="63">
        <v>-11670329</v>
      </c>
      <c r="Q16" s="74">
        <v>107718339.78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4">
        <v>13</v>
      </c>
      <c r="C17" s="58" t="s">
        <v>16</v>
      </c>
      <c r="D17" s="75">
        <v>3.12</v>
      </c>
      <c r="E17" s="75">
        <v>2.95</v>
      </c>
      <c r="F17" s="75">
        <v>2.76</v>
      </c>
      <c r="G17" s="59">
        <f t="shared" si="0"/>
        <v>0</v>
      </c>
      <c r="H17" s="74">
        <v>19429920.920000002</v>
      </c>
      <c r="I17" s="63">
        <v>-5322919.05</v>
      </c>
      <c r="J17" s="92">
        <f t="shared" si="1"/>
        <v>1</v>
      </c>
      <c r="K17" s="91">
        <f t="shared" si="3"/>
        <v>-591435.44999999995</v>
      </c>
      <c r="L17" s="61">
        <f t="shared" si="5"/>
        <v>-32.852141210000184</v>
      </c>
      <c r="M17" s="59">
        <f t="shared" si="4"/>
        <v>0</v>
      </c>
      <c r="N17" s="73">
        <f t="shared" si="2"/>
        <v>1</v>
      </c>
      <c r="O17" s="62">
        <f>'พ.ค.66'!N17</f>
        <v>1</v>
      </c>
      <c r="P17" s="63">
        <v>-4829726.76</v>
      </c>
      <c r="Q17" s="74">
        <v>16155492.029999999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4">
        <v>14</v>
      </c>
      <c r="C18" s="58" t="s">
        <v>15</v>
      </c>
      <c r="D18" s="75">
        <v>13.71</v>
      </c>
      <c r="E18" s="75">
        <v>13.55</v>
      </c>
      <c r="F18" s="75">
        <v>12.79</v>
      </c>
      <c r="G18" s="59">
        <f t="shared" si="0"/>
        <v>0</v>
      </c>
      <c r="H18" s="74">
        <v>209100949.43000001</v>
      </c>
      <c r="I18" s="63">
        <v>-13647324.66</v>
      </c>
      <c r="J18" s="92">
        <f t="shared" si="1"/>
        <v>1</v>
      </c>
      <c r="K18" s="91">
        <f t="shared" si="3"/>
        <v>-1516369.4066666667</v>
      </c>
      <c r="L18" s="61">
        <f t="shared" si="5"/>
        <v>-137.89578483362612</v>
      </c>
      <c r="M18" s="59">
        <f t="shared" si="4"/>
        <v>0</v>
      </c>
      <c r="N18" s="73">
        <f t="shared" si="2"/>
        <v>1</v>
      </c>
      <c r="O18" s="62">
        <f>'พ.ค.66'!N18</f>
        <v>1</v>
      </c>
      <c r="P18" s="63">
        <v>-9284856.5</v>
      </c>
      <c r="Q18" s="74">
        <v>193906618.69999999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4">
        <v>15</v>
      </c>
      <c r="C19" s="58" t="s">
        <v>14</v>
      </c>
      <c r="D19" s="75">
        <v>1.6</v>
      </c>
      <c r="E19" s="75">
        <v>1.36</v>
      </c>
      <c r="F19" s="65">
        <v>0.88</v>
      </c>
      <c r="G19" s="59">
        <f t="shared" si="0"/>
        <v>0</v>
      </c>
      <c r="H19" s="74">
        <v>5280012.0999999996</v>
      </c>
      <c r="I19" s="63">
        <v>-14040426.18</v>
      </c>
      <c r="J19" s="92">
        <f t="shared" si="1"/>
        <v>1</v>
      </c>
      <c r="K19" s="91">
        <f t="shared" si="3"/>
        <v>-1560047.3533333333</v>
      </c>
      <c r="L19" s="61">
        <f t="shared" si="5"/>
        <v>-3.3845204049212128</v>
      </c>
      <c r="M19" s="92">
        <f t="shared" si="4"/>
        <v>1</v>
      </c>
      <c r="N19" s="90">
        <f t="shared" si="2"/>
        <v>2</v>
      </c>
      <c r="O19" s="90">
        <f>'พ.ค.66'!N19</f>
        <v>2</v>
      </c>
      <c r="P19" s="63">
        <v>-11291253.76</v>
      </c>
      <c r="Q19" s="63">
        <v>-1082841.79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4">
        <v>16</v>
      </c>
      <c r="C20" s="58" t="s">
        <v>13</v>
      </c>
      <c r="D20" s="75">
        <v>2.04</v>
      </c>
      <c r="E20" s="75">
        <v>1.75</v>
      </c>
      <c r="F20" s="75">
        <v>1.1100000000000001</v>
      </c>
      <c r="G20" s="59">
        <f t="shared" si="0"/>
        <v>0</v>
      </c>
      <c r="H20" s="74">
        <v>5642624.1399999997</v>
      </c>
      <c r="I20" s="63">
        <v>-8932650.9600000009</v>
      </c>
      <c r="J20" s="92">
        <f t="shared" si="1"/>
        <v>1</v>
      </c>
      <c r="K20" s="91">
        <f t="shared" si="3"/>
        <v>-992516.77333333343</v>
      </c>
      <c r="L20" s="61">
        <f t="shared" si="5"/>
        <v>-5.6851675373197379</v>
      </c>
      <c r="M20" s="92">
        <f t="shared" si="4"/>
        <v>1</v>
      </c>
      <c r="N20" s="90">
        <f t="shared" si="2"/>
        <v>2</v>
      </c>
      <c r="O20" s="62">
        <f>'พ.ค.66'!N20</f>
        <v>1</v>
      </c>
      <c r="P20" s="63">
        <v>-5683979.3300000001</v>
      </c>
      <c r="Q20" s="74">
        <v>597727.81000000006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8" t="s">
        <v>5</v>
      </c>
      <c r="M23" s="128"/>
      <c r="N23" s="128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8"/>
      <c r="M24" s="128"/>
      <c r="N24" s="128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8" t="s">
        <v>5</v>
      </c>
      <c r="M25" s="128"/>
      <c r="N25" s="128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8"/>
      <c r="M26" s="128"/>
      <c r="N26" s="128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9" t="s">
        <v>5</v>
      </c>
      <c r="L27" s="129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8" t="s">
        <v>5</v>
      </c>
      <c r="M30" s="128"/>
      <c r="N30" s="128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8"/>
      <c r="M31" s="128"/>
      <c r="N31" s="128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O18 O20">
    <cfRule type="cellIs" dxfId="5" priority="1" operator="greaterThan">
      <formula>0</formula>
    </cfRule>
    <cfRule type="cellIs" dxfId="4" priority="2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ต.ค.65</vt:lpstr>
      <vt:lpstr>พ.ย.65</vt:lpstr>
      <vt:lpstr>ธ.ค.65</vt:lpstr>
      <vt:lpstr>ม.ค.66</vt:lpstr>
      <vt:lpstr>ก.พ.66</vt:lpstr>
      <vt:lpstr>มี.ค.66</vt:lpstr>
      <vt:lpstr>เม.ย.66</vt:lpstr>
      <vt:lpstr>พ.ค.66</vt:lpstr>
      <vt:lpstr>มิ.ย.66</vt:lpstr>
      <vt:lpstr>ก.ค.66</vt:lpstr>
      <vt:lpstr>ส.ค.66</vt:lpstr>
      <vt:lpstr>ก.ย.66 </vt:lpstr>
      <vt:lpstr>Sheet2</vt:lpstr>
      <vt:lpstr>Sheet1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ประกันสุขภาพ1</cp:lastModifiedBy>
  <cp:lastPrinted>2023-08-29T06:49:33Z</cp:lastPrinted>
  <dcterms:created xsi:type="dcterms:W3CDTF">2017-12-26T02:45:48Z</dcterms:created>
  <dcterms:modified xsi:type="dcterms:W3CDTF">2023-11-02T03:38:22Z</dcterms:modified>
</cp:coreProperties>
</file>